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90" yWindow="65521" windowWidth="4575" windowHeight="5010" tabRatio="616" firstSheet="1" activeTab="1"/>
  </bookViews>
  <sheets>
    <sheet name="laroux" sheetId="1" state="veryHidden" r:id="rId1"/>
    <sheet name="Раскладка" sheetId="2" r:id="rId2"/>
    <sheet name="Еда" sheetId="3" r:id="rId3"/>
    <sheet name="Супчики" sheetId="4" r:id="rId4"/>
    <sheet name="Аптека" sheetId="5" r:id="rId5"/>
    <sheet name="По людям" sheetId="6" r:id="rId6"/>
    <sheet name="Смета" sheetId="7" r:id="rId7"/>
  </sheets>
  <definedNames>
    <definedName name="_xlnm._FilterDatabase" localSheetId="1" hidden="1">'Раскладка'!$A$1:$N$62</definedName>
    <definedName name="_xlnm.Print_Area" localSheetId="6">'Смета'!$A$1:$L$27</definedName>
  </definedNames>
  <calcPr fullCalcOnLoad="1"/>
</workbook>
</file>

<file path=xl/sharedStrings.xml><?xml version="1.0" encoding="utf-8"?>
<sst xmlns="http://schemas.openxmlformats.org/spreadsheetml/2006/main" count="619" uniqueCount="294">
  <si>
    <t>дней</t>
  </si>
  <si>
    <t>человек</t>
  </si>
  <si>
    <t>Наименование</t>
  </si>
  <si>
    <t xml:space="preserve">Вес </t>
  </si>
  <si>
    <t>Порция, кг</t>
  </si>
  <si>
    <t xml:space="preserve">   Кол-во</t>
  </si>
  <si>
    <t>Вес, кг</t>
  </si>
  <si>
    <t>продукта</t>
  </si>
  <si>
    <t>завт</t>
  </si>
  <si>
    <t>ужин</t>
  </si>
  <si>
    <t>кг</t>
  </si>
  <si>
    <t>Тушенка самодельная</t>
  </si>
  <si>
    <t>Рыбные консервы</t>
  </si>
  <si>
    <t>Колбаса сырокопченая</t>
  </si>
  <si>
    <t>Сыр</t>
  </si>
  <si>
    <t>Рис</t>
  </si>
  <si>
    <t>Гречка</t>
  </si>
  <si>
    <t>Лапша</t>
  </si>
  <si>
    <t>Картофельное пюре</t>
  </si>
  <si>
    <t>Геркулес</t>
  </si>
  <si>
    <t>Манка</t>
  </si>
  <si>
    <t>Масло топленое</t>
  </si>
  <si>
    <t>Молоко сухое</t>
  </si>
  <si>
    <t>Чили</t>
  </si>
  <si>
    <t>Чеснок</t>
  </si>
  <si>
    <t>Соль</t>
  </si>
  <si>
    <t>Кубики бульонные</t>
  </si>
  <si>
    <t>Сахар</t>
  </si>
  <si>
    <t>Халва</t>
  </si>
  <si>
    <t>Карамель</t>
  </si>
  <si>
    <t>Лимон</t>
  </si>
  <si>
    <t>Орехи</t>
  </si>
  <si>
    <t>Курага</t>
  </si>
  <si>
    <t>Изюм</t>
  </si>
  <si>
    <t>Чернослив</t>
  </si>
  <si>
    <t>Кофе растворимый</t>
  </si>
  <si>
    <t>Чай об. и аром.</t>
  </si>
  <si>
    <t xml:space="preserve">   всегда</t>
  </si>
  <si>
    <t>Какао</t>
  </si>
  <si>
    <t>Сухари</t>
  </si>
  <si>
    <t>Сушки, печенье, пряники</t>
  </si>
  <si>
    <t>Итого вес, кг</t>
  </si>
  <si>
    <t>В день, кг/чел</t>
  </si>
  <si>
    <t>Итого</t>
  </si>
  <si>
    <t>Шоколад, батончики</t>
  </si>
  <si>
    <t>Яблоки и груши суш</t>
  </si>
  <si>
    <t>Перец, травы сушеные</t>
  </si>
  <si>
    <t>Спирт</t>
  </si>
  <si>
    <t>Наименование продукта</t>
  </si>
  <si>
    <t>Вес продукта, кг</t>
  </si>
  <si>
    <t>Стоимость 1 кг, руб</t>
  </si>
  <si>
    <t xml:space="preserve">Лук </t>
  </si>
  <si>
    <t>Аптека</t>
  </si>
  <si>
    <t>Сало сол.+ копч.</t>
  </si>
  <si>
    <t>Ржаная б/п</t>
  </si>
  <si>
    <t>Сухой кисель</t>
  </si>
  <si>
    <t>Транспортные расходы</t>
  </si>
  <si>
    <t>в том числе:</t>
  </si>
  <si>
    <t>Снаряжение</t>
  </si>
  <si>
    <t>Продукты</t>
  </si>
  <si>
    <t>клюква</t>
  </si>
  <si>
    <t>Ч.смор., клюква</t>
  </si>
  <si>
    <t>Ампульные препараты</t>
  </si>
  <si>
    <t>Обезболивающее</t>
  </si>
  <si>
    <t>Стимулятор сердца</t>
  </si>
  <si>
    <t>Адреналин</t>
  </si>
  <si>
    <t>Супрастин</t>
  </si>
  <si>
    <t>Трентал</t>
  </si>
  <si>
    <t>Таблетки</t>
  </si>
  <si>
    <t>40 табл</t>
  </si>
  <si>
    <t>Стимул пищеварение</t>
  </si>
  <si>
    <t>Запирает на 2 часа</t>
  </si>
  <si>
    <t>10 табл</t>
  </si>
  <si>
    <t>Фуросемид</t>
  </si>
  <si>
    <t>Мочегонное</t>
  </si>
  <si>
    <t>30 табл</t>
  </si>
  <si>
    <t>Спазмы, судороги</t>
  </si>
  <si>
    <t>Профилактика обморожений и на высоте</t>
  </si>
  <si>
    <t>Жаропонижающее</t>
  </si>
  <si>
    <t>20 табл</t>
  </si>
  <si>
    <t>Разное</t>
  </si>
  <si>
    <t>Заживление ран, ожогов</t>
  </si>
  <si>
    <t>Зеленка</t>
  </si>
  <si>
    <t>Дезинфекция</t>
  </si>
  <si>
    <t>Бинт эластичный</t>
  </si>
  <si>
    <t>Детский крем</t>
  </si>
  <si>
    <t>1 тюбик</t>
  </si>
  <si>
    <t>Антигистамин</t>
  </si>
  <si>
    <t>Дексаметазон</t>
  </si>
  <si>
    <t>Фталазол</t>
  </si>
  <si>
    <t>Расстройство желудка</t>
  </si>
  <si>
    <t>Спасатель</t>
  </si>
  <si>
    <t>от герпеса</t>
  </si>
  <si>
    <t>Перекись водорода</t>
  </si>
  <si>
    <t>Йод</t>
  </si>
  <si>
    <t>Шприцы однораз 2 мл</t>
  </si>
  <si>
    <t>Всего</t>
  </si>
  <si>
    <t>На человека</t>
  </si>
  <si>
    <t>Стоимость, руб</t>
  </si>
  <si>
    <t>Вес на чел., кг</t>
  </si>
  <si>
    <t>Бензин, л</t>
  </si>
  <si>
    <t>Вес с бензином и тарой, кг</t>
  </si>
  <si>
    <t>Боль в горле</t>
  </si>
  <si>
    <t>Нитроглицерин</t>
  </si>
  <si>
    <t>Кетанов</t>
  </si>
  <si>
    <t>Цитрамон</t>
  </si>
  <si>
    <t>Головная боль</t>
  </si>
  <si>
    <t>Лейкопластырь</t>
  </si>
  <si>
    <t>Сердечное</t>
  </si>
  <si>
    <t>Самолет Новосибирск-Душанбе и обратно</t>
  </si>
  <si>
    <t>Машина Душанбе-Ванч</t>
  </si>
  <si>
    <t>$</t>
  </si>
  <si>
    <t>руб</t>
  </si>
  <si>
    <t>Кукурузка</t>
  </si>
  <si>
    <t>Супчики</t>
  </si>
  <si>
    <t>Чай об. и аром.,каркадэ</t>
  </si>
  <si>
    <t>Сушки</t>
  </si>
  <si>
    <t>Печенье</t>
  </si>
  <si>
    <t>Пшено</t>
  </si>
  <si>
    <t>Реальная смета расходов на питание</t>
  </si>
  <si>
    <t>Чили,горчица</t>
  </si>
  <si>
    <t>Зах+кольцо</t>
  </si>
  <si>
    <t>Визовые расходы, пропуска</t>
  </si>
  <si>
    <t>3 штуки</t>
  </si>
  <si>
    <t>1 x 1,5 м</t>
  </si>
  <si>
    <t>Бинт стерильный</t>
  </si>
  <si>
    <t>4 штуки</t>
  </si>
  <si>
    <t>противорвотное</t>
  </si>
  <si>
    <t>мешок</t>
  </si>
  <si>
    <t>Горох и чечевица</t>
  </si>
  <si>
    <t>Энтерогель</t>
  </si>
  <si>
    <t>Парацетамол</t>
  </si>
  <si>
    <t>Аспирин упса</t>
  </si>
  <si>
    <t>Амбробене</t>
  </si>
  <si>
    <t>Солкосерил</t>
  </si>
  <si>
    <t>Первая часть часть</t>
  </si>
  <si>
    <t>Заброска</t>
  </si>
  <si>
    <t>Мед</t>
  </si>
  <si>
    <t>С-З Памир 2008, поход VI к.сл..</t>
  </si>
  <si>
    <t>руб/$</t>
  </si>
  <si>
    <t>Машина Ванч-Душанбе</t>
  </si>
  <si>
    <t>Вертолетная заброска</t>
  </si>
  <si>
    <t>Карманные расходы на выезде</t>
  </si>
  <si>
    <t>Макропен</t>
  </si>
  <si>
    <t>Граммидин</t>
  </si>
  <si>
    <t>Но-шпа</t>
  </si>
  <si>
    <t>Фестал</t>
  </si>
  <si>
    <t>Страховка</t>
  </si>
  <si>
    <t>Спутниковый телефон</t>
  </si>
  <si>
    <t>День в Душанбе</t>
  </si>
  <si>
    <t>Масло подсолнечное</t>
  </si>
  <si>
    <t>Бабий</t>
  </si>
  <si>
    <t>Землянский</t>
  </si>
  <si>
    <t>Сальников</t>
  </si>
  <si>
    <t>Ветлужских</t>
  </si>
  <si>
    <t>Чеблаков</t>
  </si>
  <si>
    <t>Хачков</t>
  </si>
  <si>
    <t>Кориневский</t>
  </si>
  <si>
    <t>Покупает</t>
  </si>
  <si>
    <t>2 кг каждый</t>
  </si>
  <si>
    <t>Перец, травы, лук и морковь суш</t>
  </si>
  <si>
    <t>+</t>
  </si>
  <si>
    <t>2 х 2 мл</t>
  </si>
  <si>
    <t>8 x 4 мг/1 мл</t>
  </si>
  <si>
    <t>Кофеин</t>
  </si>
  <si>
    <t>Антибиотик 1 табл 3 раза в день</t>
  </si>
  <si>
    <t>24 табл х 400 мг</t>
  </si>
  <si>
    <t>Ципролет</t>
  </si>
  <si>
    <t>60 табл</t>
  </si>
  <si>
    <t>7 табл</t>
  </si>
  <si>
    <t>30 табл х 500 мг</t>
  </si>
  <si>
    <t>1 тюб 20 г</t>
  </si>
  <si>
    <t>Капсикам</t>
  </si>
  <si>
    <t>1 тюб 50 г</t>
  </si>
  <si>
    <t>Согревающее, обезболивающее</t>
  </si>
  <si>
    <t>1 тюб 30 г</t>
  </si>
  <si>
    <t>Визин</t>
  </si>
  <si>
    <t>1 фл 15 мл</t>
  </si>
  <si>
    <t>Воспаление, ожог глаз</t>
  </si>
  <si>
    <t>Донормил</t>
  </si>
  <si>
    <t>10 шипучих табл</t>
  </si>
  <si>
    <t>Легкое снотворное</t>
  </si>
  <si>
    <t>50 табл</t>
  </si>
  <si>
    <t>Салфетки стерильные</t>
  </si>
  <si>
    <t>Жгут</t>
  </si>
  <si>
    <t>1 штука</t>
  </si>
  <si>
    <t>Церукал</t>
  </si>
  <si>
    <t>Бинт трубчатый</t>
  </si>
  <si>
    <t>Эффералган</t>
  </si>
  <si>
    <t>11 шипучих табл</t>
  </si>
  <si>
    <t>Простуды</t>
  </si>
  <si>
    <t>Валидол</t>
  </si>
  <si>
    <t>Пластырь перцовый</t>
  </si>
  <si>
    <t>Кордиамин</t>
  </si>
  <si>
    <t>Стимулятор дыхания</t>
  </si>
  <si>
    <t>100 мл</t>
  </si>
  <si>
    <t>1 флакон, 1 карандаш</t>
  </si>
  <si>
    <t>25 табл</t>
  </si>
  <si>
    <t>Фурацилин</t>
  </si>
  <si>
    <t>Лейкопластырь бактерицидный</t>
  </si>
  <si>
    <t>6 штук</t>
  </si>
  <si>
    <t>5 х 2 мл</t>
  </si>
  <si>
    <t>Сильное обезболивающее</t>
  </si>
  <si>
    <t>Диуретик</t>
  </si>
  <si>
    <t>Темпальгин</t>
  </si>
  <si>
    <t>Терпинкод</t>
  </si>
  <si>
    <t>Троксевазин</t>
  </si>
  <si>
    <t>Рассасывающее</t>
  </si>
  <si>
    <t>Целестодерм</t>
  </si>
  <si>
    <t>2 х 1 мл</t>
  </si>
  <si>
    <t>2 х 200мг/1 мл</t>
  </si>
  <si>
    <t>1 x 1 мл</t>
  </si>
  <si>
    <t>3 x 5 мл</t>
  </si>
  <si>
    <t>Обезболивающее, спазмалитик</t>
  </si>
  <si>
    <t>Спазган</t>
  </si>
  <si>
    <t>2 х 2мл</t>
  </si>
  <si>
    <t>3 x 20 мг/1 мл</t>
  </si>
  <si>
    <t>Сульфокамфокаин</t>
  </si>
  <si>
    <t>Коргликон</t>
  </si>
  <si>
    <t>подъем АД</t>
  </si>
  <si>
    <t>Спазмалитик, сосудорасширяющее</t>
  </si>
  <si>
    <t>гормоналка, отек легких, отек мозга</t>
  </si>
  <si>
    <t>1 х 2 мл</t>
  </si>
  <si>
    <t>5 х 100мг/5мл</t>
  </si>
  <si>
    <t>обморожения</t>
  </si>
  <si>
    <t>Перевязочные пакеты</t>
  </si>
  <si>
    <t>2 штуки</t>
  </si>
  <si>
    <t>4 рулона</t>
  </si>
  <si>
    <t>Шприцы однораз 5 мл</t>
  </si>
  <si>
    <t>Зовиракс, ацикловир</t>
  </si>
  <si>
    <t>1 флакон, 2 карандаша</t>
  </si>
  <si>
    <t>7 штук</t>
  </si>
  <si>
    <t>1 тюб 3 г</t>
  </si>
  <si>
    <t>Антибиотик</t>
  </si>
  <si>
    <t>Тетрациклиновая мазь глазная</t>
  </si>
  <si>
    <t xml:space="preserve">22 капс </t>
  </si>
  <si>
    <t>Кальция глюконат</t>
  </si>
  <si>
    <t>Судороги</t>
  </si>
  <si>
    <t>Обезболивающее, противовоспалительное</t>
  </si>
  <si>
    <t>Имодиум, лоперамид</t>
  </si>
  <si>
    <t>Назол</t>
  </si>
  <si>
    <t>2 флакона 15 мл</t>
  </si>
  <si>
    <t>насморк</t>
  </si>
  <si>
    <t>3 тюб 3-5 г</t>
  </si>
  <si>
    <t>Сухие овощи, кг</t>
  </si>
  <si>
    <t>Раз</t>
  </si>
  <si>
    <t>Порции</t>
  </si>
  <si>
    <t>Уха</t>
  </si>
  <si>
    <t>Щи</t>
  </si>
  <si>
    <t>Борщ</t>
  </si>
  <si>
    <t>Капуста</t>
  </si>
  <si>
    <t>Свекла</t>
  </si>
  <si>
    <t>Картошка</t>
  </si>
  <si>
    <t>Морковь</t>
  </si>
  <si>
    <t>Лук</t>
  </si>
  <si>
    <t>Гуляш</t>
  </si>
  <si>
    <t>Перец</t>
  </si>
  <si>
    <t>Томаты</t>
  </si>
  <si>
    <t>Травки</t>
  </si>
  <si>
    <t>Коренья</t>
  </si>
  <si>
    <t>Диакарб</t>
  </si>
  <si>
    <t>Докупить</t>
  </si>
  <si>
    <t>Ракушки</t>
  </si>
  <si>
    <t>Смета общих расходов  "Памир-2008"</t>
  </si>
  <si>
    <t>Состав аптечки</t>
  </si>
  <si>
    <t>32 шипучих табл</t>
  </si>
  <si>
    <t>Боль в горле, рассасывать 1+1через 20 мин х 4 раза в день, час не есть не пить</t>
  </si>
  <si>
    <t>пищевое отравление, 1-2 стол ложки растереть в 1/2 стакана воды х 3 раза в день, 2 часа не есть</t>
  </si>
  <si>
    <t>лечение от кашля, 1 табл х 3 раза в день, запивать большим количеством воды</t>
  </si>
  <si>
    <t>останавливает кашель, на высоте</t>
  </si>
  <si>
    <t>96 табл</t>
  </si>
  <si>
    <t>Адаптоген, 2-4 таблетки в сутки</t>
  </si>
  <si>
    <t>30 штук</t>
  </si>
  <si>
    <t>К</t>
  </si>
  <si>
    <t>П</t>
  </si>
  <si>
    <t>З</t>
  </si>
  <si>
    <t>Готовит</t>
  </si>
  <si>
    <t>Бензин</t>
  </si>
  <si>
    <t>Душанбе</t>
  </si>
  <si>
    <t>Итого:</t>
  </si>
  <si>
    <t>Бензин 33 л</t>
  </si>
  <si>
    <t>Я</t>
  </si>
  <si>
    <t>ЖС</t>
  </si>
  <si>
    <t>АХ</t>
  </si>
  <si>
    <t>долларов</t>
  </si>
  <si>
    <t>евро</t>
  </si>
  <si>
    <t>Реально</t>
  </si>
  <si>
    <t>ДБ</t>
  </si>
  <si>
    <t>СК</t>
  </si>
  <si>
    <t>ПЧ</t>
  </si>
  <si>
    <t>ИЗ</t>
  </si>
  <si>
    <t>сомони</t>
  </si>
  <si>
    <t>руб/евро</t>
  </si>
  <si>
    <t>Долг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</si>
</sst>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$&quot;#,##0_);[Red]\(&quot;$&quot;#,##0\)"/>
    <numFmt numFmtId="167" formatCode="_-* #,##0\ _р_._-;\-* #,##0\ _р_._-;_-* &quot;-&quot;\ _р_._-;_-@_-"/>
    <numFmt numFmtId="168" formatCode="_-* #,##0.00\ _р_._-;\-* #,##0.00\ _р_._-;_-* &quot;-&quot;??\ _р_._-;_-@_-"/>
    <numFmt numFmtId="169" formatCode="&quot;$&quot;#,##0.00_);[Red]\(&quot;$&quot;#,##0.00\)"/>
    <numFmt numFmtId="170" formatCode="_-* #,##0.00\ &quot;$&quot;_-;\-* #,##0.00\ &quot;$&quot;_-;_-* &quot;-&quot;??\ &quot;$&quot;_-;_-@_-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2"/>
    </font>
    <font>
      <b/>
      <u val="single"/>
      <sz val="12"/>
      <name val="Arial Cyr"/>
      <family val="0"/>
    </font>
    <font>
      <sz val="12"/>
      <name val="Arial Cyr"/>
      <family val="0"/>
    </font>
    <font>
      <b/>
      <u val="single"/>
      <sz val="20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sz val="10"/>
      <name val="Helv"/>
      <family val="0"/>
    </font>
    <font>
      <b/>
      <sz val="10"/>
      <name val="Pragmatica"/>
      <family val="0"/>
    </font>
    <font>
      <sz val="10"/>
      <name val="MS Sans Serif"/>
      <family val="0"/>
    </font>
    <font>
      <sz val="10"/>
      <name val="NewtonCTT"/>
      <family val="0"/>
    </font>
    <font>
      <b/>
      <sz val="8"/>
      <name val="Times New Roman"/>
      <family val="0"/>
    </font>
    <font>
      <b/>
      <sz val="10"/>
      <name val="Times New Roman"/>
      <family val="0"/>
    </font>
    <font>
      <sz val="9.75"/>
      <name val="Arial"/>
      <family val="0"/>
    </font>
    <font>
      <b/>
      <sz val="14"/>
      <name val="ITCCentury Book"/>
      <family val="0"/>
    </font>
    <font>
      <sz val="8"/>
      <name val="Arial"/>
      <family val="0"/>
    </font>
    <font>
      <i/>
      <sz val="10"/>
      <name val="Times New Roman"/>
      <family val="0"/>
    </font>
    <font>
      <sz val="8"/>
      <name val="Arial Cyr"/>
      <family val="2"/>
    </font>
    <font>
      <i/>
      <sz val="8"/>
      <name val="Arial Cyr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4" fillId="0" borderId="0">
      <alignment/>
      <protection/>
    </xf>
    <xf numFmtId="3" fontId="15" fillId="0" borderId="0">
      <alignment vertical="top"/>
      <protection/>
    </xf>
    <xf numFmtId="2" fontId="16" fillId="1" borderId="1">
      <alignment horizontal="left"/>
      <protection locked="0"/>
    </xf>
    <xf numFmtId="0" fontId="17" fillId="1" borderId="0">
      <alignment/>
      <protection/>
    </xf>
    <xf numFmtId="49" fontId="18" fillId="0" borderId="2">
      <alignment horizontal="center" vertical="center"/>
      <protection/>
    </xf>
    <xf numFmtId="0" fontId="10" fillId="0" borderId="0">
      <alignment/>
      <protection/>
    </xf>
    <xf numFmtId="3" fontId="16" fillId="0" borderId="0" applyNumberFormat="0">
      <alignment horizontal="center"/>
      <protection/>
    </xf>
    <xf numFmtId="170" fontId="0" fillId="0" borderId="0">
      <alignment horizontal="left"/>
      <protection/>
    </xf>
    <xf numFmtId="3" fontId="19" fillId="0" borderId="0">
      <alignment vertical="top"/>
      <protection/>
    </xf>
    <xf numFmtId="170" fontId="0" fillId="0" borderId="0">
      <alignment horizontal="left"/>
      <protection/>
    </xf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Fill="0" applyBorder="0" applyAlignment="0"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3" applyFill="0" applyBorder="0" applyAlignment="0" applyProtection="0"/>
    <xf numFmtId="167" fontId="0" fillId="0" borderId="0" applyFont="0" applyFill="0" applyBorder="0" applyAlignment="0" applyProtection="0"/>
    <xf numFmtId="3" fontId="13" fillId="0" borderId="2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2">
      <alignment horizontal="centerContinuous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4" xfId="0" applyNumberFormat="1" applyBorder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7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4" fontId="0" fillId="0" borderId="5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/>
    </xf>
    <xf numFmtId="16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164" fontId="1" fillId="0" borderId="6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0" fontId="4" fillId="0" borderId="0" xfId="0" applyFont="1" applyAlignment="1">
      <alignment/>
    </xf>
    <xf numFmtId="164" fontId="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9" fillId="0" borderId="2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1" fontId="1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1" fontId="5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1" fontId="0" fillId="0" borderId="2" xfId="0" applyNumberFormat="1" applyBorder="1" applyAlignment="1">
      <alignment/>
    </xf>
    <xf numFmtId="1" fontId="1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164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3" xfId="0" applyFill="1" applyBorder="1" applyAlignment="1">
      <alignment/>
    </xf>
    <xf numFmtId="2" fontId="0" fillId="2" borderId="0" xfId="0" applyNumberFormat="1" applyFill="1" applyAlignment="1">
      <alignment/>
    </xf>
  </cellXfs>
  <cellStyles count="29">
    <cellStyle name="Normal" xfId="0"/>
    <cellStyle name="2.Жирный" xfId="16"/>
    <cellStyle name="Comma [0]" xfId="17"/>
    <cellStyle name="Comma_Acer" xfId="18"/>
    <cellStyle name="Currency [0]" xfId="19"/>
    <cellStyle name="Currency_Acer" xfId="20"/>
    <cellStyle name="Flag" xfId="21"/>
    <cellStyle name="Heading2" xfId="22"/>
    <cellStyle name="Heading3" xfId="23"/>
    <cellStyle name="Headline II" xfId="24"/>
    <cellStyle name="Normal_Acer" xfId="25"/>
    <cellStyle name="normбlnм_laroux" xfId="26"/>
    <cellStyle name="Note" xfId="27"/>
    <cellStyle name="Option" xfId="28"/>
    <cellStyle name="OptionHeading" xfId="29"/>
    <cellStyle name="Unit" xfId="30"/>
    <cellStyle name="Hyperlink" xfId="31"/>
    <cellStyle name="Currency" xfId="32"/>
    <cellStyle name="Currency [0]" xfId="33"/>
    <cellStyle name="комплектующие-норма_Price_Ист-Нск1" xfId="34"/>
    <cellStyle name="Followed Hyperlink" xfId="35"/>
    <cellStyle name="Percent" xfId="36"/>
    <cellStyle name="текст_дополнительный" xfId="37"/>
    <cellStyle name="Тысячи [0]_laroux" xfId="38"/>
    <cellStyle name="Тысячи(0)" xfId="39"/>
    <cellStyle name="Тысячи_laroux" xfId="40"/>
    <cellStyle name="Упаковка" xfId="41"/>
    <cellStyle name="Comma" xfId="42"/>
    <cellStyle name="Comma [0]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08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3"/>
  <sheetViews>
    <sheetView tabSelected="1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8" sqref="E28"/>
    </sheetView>
  </sheetViews>
  <sheetFormatPr defaultColWidth="9.00390625" defaultRowHeight="12.75"/>
  <cols>
    <col min="1" max="1" width="32.875" style="2" customWidth="1"/>
    <col min="2" max="3" width="4.375" style="2" customWidth="1"/>
    <col min="4" max="4" width="5.875" style="2" customWidth="1"/>
    <col min="5" max="5" width="8.25390625" style="2" customWidth="1"/>
    <col min="6" max="6" width="12.625" style="2" customWidth="1"/>
    <col min="7" max="7" width="4.875" style="0" customWidth="1"/>
    <col min="8" max="8" width="9.00390625" style="0" customWidth="1"/>
    <col min="9" max="9" width="8.75390625" style="0" customWidth="1"/>
    <col min="10" max="10" width="5.625" style="0" customWidth="1"/>
    <col min="11" max="11" width="8.25390625" style="2" customWidth="1"/>
    <col min="12" max="12" width="7.00390625" style="2" customWidth="1"/>
    <col min="13" max="13" width="8.625" style="2" customWidth="1"/>
  </cols>
  <sheetData>
    <row r="1" ht="12" customHeight="1"/>
    <row r="2" spans="1:16" ht="25.5" customHeight="1">
      <c r="A2" s="11" t="s">
        <v>138</v>
      </c>
      <c r="B2" s="12"/>
      <c r="C2" s="13"/>
      <c r="D2" s="13"/>
      <c r="E2" s="13"/>
      <c r="F2" s="11">
        <f>F3+I3+L3</f>
        <v>29</v>
      </c>
      <c r="G2" s="14" t="s">
        <v>0</v>
      </c>
      <c r="I2" s="11">
        <v>7</v>
      </c>
      <c r="J2" s="14" t="s">
        <v>1</v>
      </c>
      <c r="N2" s="11"/>
      <c r="O2" s="14"/>
      <c r="P2" s="13"/>
    </row>
    <row r="3" spans="1:13" ht="12.75">
      <c r="A3" s="4" t="s">
        <v>2</v>
      </c>
      <c r="B3" s="45"/>
      <c r="C3" s="17"/>
      <c r="D3" s="10" t="s">
        <v>121</v>
      </c>
      <c r="E3"/>
      <c r="F3" s="15">
        <v>5</v>
      </c>
      <c r="G3" s="4" t="s">
        <v>135</v>
      </c>
      <c r="I3" s="15">
        <v>12</v>
      </c>
      <c r="J3" s="4" t="s">
        <v>136</v>
      </c>
      <c r="K3" s="4"/>
      <c r="L3" s="15">
        <v>12</v>
      </c>
      <c r="M3" s="16" t="s">
        <v>3</v>
      </c>
    </row>
    <row r="4" spans="1:14" ht="12.75">
      <c r="A4" s="4"/>
      <c r="B4" s="4" t="s">
        <v>4</v>
      </c>
      <c r="C4"/>
      <c r="D4" s="6" t="s">
        <v>5</v>
      </c>
      <c r="E4"/>
      <c r="F4" s="4" t="s">
        <v>6</v>
      </c>
      <c r="G4" s="6" t="s">
        <v>5</v>
      </c>
      <c r="I4" s="4" t="s">
        <v>6</v>
      </c>
      <c r="J4" s="6" t="s">
        <v>5</v>
      </c>
      <c r="K4"/>
      <c r="L4" s="4" t="s">
        <v>6</v>
      </c>
      <c r="M4" s="16" t="s">
        <v>7</v>
      </c>
      <c r="N4" s="44" t="s">
        <v>158</v>
      </c>
    </row>
    <row r="5" spans="1:13" ht="12.75">
      <c r="A5" s="7"/>
      <c r="B5" s="5" t="s">
        <v>8</v>
      </c>
      <c r="C5" s="6" t="s">
        <v>9</v>
      </c>
      <c r="D5" s="5" t="s">
        <v>8</v>
      </c>
      <c r="E5" s="6" t="s">
        <v>9</v>
      </c>
      <c r="F5"/>
      <c r="G5" s="5" t="s">
        <v>8</v>
      </c>
      <c r="H5" s="6" t="s">
        <v>9</v>
      </c>
      <c r="J5" s="5" t="s">
        <v>8</v>
      </c>
      <c r="K5" s="6" t="s">
        <v>9</v>
      </c>
      <c r="L5"/>
      <c r="M5" s="16" t="s">
        <v>10</v>
      </c>
    </row>
    <row r="6" spans="1:14" ht="12.75">
      <c r="A6" s="2" t="s">
        <v>11</v>
      </c>
      <c r="B6" s="33">
        <f>CEILING($I$2*0.035,0.1)</f>
        <v>0.30000000000000004</v>
      </c>
      <c r="C6" s="33">
        <f>CEILING($I$2*0.05,0.1)</f>
        <v>0.4</v>
      </c>
      <c r="E6" s="1">
        <f>F3</f>
        <v>5</v>
      </c>
      <c r="F6" s="33">
        <f>$B6*E6</f>
        <v>1.5000000000000002</v>
      </c>
      <c r="G6" s="2"/>
      <c r="H6" s="1">
        <f>I3</f>
        <v>12</v>
      </c>
      <c r="I6" s="33">
        <f>$C6*H6</f>
        <v>4.800000000000001</v>
      </c>
      <c r="J6" s="2"/>
      <c r="K6" s="1">
        <f>L3+J22</f>
        <v>14</v>
      </c>
      <c r="L6" s="33">
        <f>$C6*K6</f>
        <v>5.6000000000000005</v>
      </c>
      <c r="M6" s="33">
        <f>SUM(F6,I6,L6)</f>
        <v>11.900000000000002</v>
      </c>
      <c r="N6" t="s">
        <v>151</v>
      </c>
    </row>
    <row r="7" spans="1:14" ht="12.75">
      <c r="A7" s="2" t="s">
        <v>12</v>
      </c>
      <c r="B7" s="33"/>
      <c r="C7" s="33">
        <f>FLOOR(0.08*$I$2,0.25)</f>
        <v>0.5</v>
      </c>
      <c r="E7" s="1">
        <v>1</v>
      </c>
      <c r="F7" s="33">
        <f>$C7*E7</f>
        <v>0.5</v>
      </c>
      <c r="G7" s="2"/>
      <c r="H7" s="1">
        <v>2</v>
      </c>
      <c r="I7" s="33">
        <f>$C7*H7</f>
        <v>1</v>
      </c>
      <c r="J7" s="2"/>
      <c r="K7" s="1">
        <v>2</v>
      </c>
      <c r="L7" s="33">
        <f>$C7*K7</f>
        <v>1</v>
      </c>
      <c r="M7" s="33">
        <f>SUM(F7,I7,L7)</f>
        <v>2.5</v>
      </c>
      <c r="N7" t="s">
        <v>152</v>
      </c>
    </row>
    <row r="8" spans="1:14" ht="12.75">
      <c r="A8" s="2" t="s">
        <v>53</v>
      </c>
      <c r="B8" s="33"/>
      <c r="C8" s="33"/>
      <c r="F8" s="33">
        <f>FLOOR(F$3*$I$2/10,1)*0.2</f>
        <v>0.6000000000000001</v>
      </c>
      <c r="G8" s="2"/>
      <c r="H8" s="2"/>
      <c r="I8" s="33">
        <f>FLOOR(I$3*$I$2/31,0.1)</f>
        <v>2.7</v>
      </c>
      <c r="J8" s="2"/>
      <c r="L8" s="33">
        <f>FLOOR(L$3*$I$2/31,0.1)</f>
        <v>2.7</v>
      </c>
      <c r="M8" s="33">
        <f>SUM(F8,I8,L8)</f>
        <v>6</v>
      </c>
      <c r="N8" t="s">
        <v>153</v>
      </c>
    </row>
    <row r="9" spans="1:14" ht="12.75">
      <c r="A9" s="2" t="s">
        <v>13</v>
      </c>
      <c r="B9" s="33"/>
      <c r="C9" s="33"/>
      <c r="F9" s="71">
        <f>FLOOR($F$3*$I$2/10,1)*0.2</f>
        <v>0.6000000000000001</v>
      </c>
      <c r="G9" s="2"/>
      <c r="H9" s="2"/>
      <c r="I9" s="33">
        <f>FLOOR($I$3*$I$2/70,0.1)</f>
        <v>1.2000000000000002</v>
      </c>
      <c r="J9" s="2"/>
      <c r="L9" s="71">
        <f>FLOOR($I$3*$I$2/70,0.1)</f>
        <v>1.2000000000000002</v>
      </c>
      <c r="M9" s="33">
        <f>SUM(F9,I9,L9)</f>
        <v>3.0000000000000004</v>
      </c>
      <c r="N9" t="s">
        <v>154</v>
      </c>
    </row>
    <row r="10" spans="1:14" ht="12.75">
      <c r="A10" s="2" t="s">
        <v>14</v>
      </c>
      <c r="B10" s="33"/>
      <c r="C10" s="33"/>
      <c r="F10" s="71">
        <f>CEILING(F3*$I2/70+D14*$C14/2,0.1)</f>
        <v>0.5</v>
      </c>
      <c r="G10" s="2"/>
      <c r="H10" s="2"/>
      <c r="I10" s="71">
        <f>FLOOR($I$3*$I$2/45,0.1)</f>
        <v>1.8</v>
      </c>
      <c r="J10" s="2"/>
      <c r="L10" s="71">
        <f>FLOOR($I$3*$I$2/45,0.1)</f>
        <v>1.8</v>
      </c>
      <c r="M10" s="33">
        <f>SUM(F10,I10,L10)</f>
        <v>4.1</v>
      </c>
      <c r="N10" t="s">
        <v>154</v>
      </c>
    </row>
    <row r="11" spans="1:13" ht="12.75">
      <c r="A11" s="3"/>
      <c r="B11" s="33"/>
      <c r="C11" s="33"/>
      <c r="F11" s="32">
        <f>SUM(F6:F10)</f>
        <v>3.7</v>
      </c>
      <c r="G11" s="2"/>
      <c r="H11" s="2"/>
      <c r="I11" s="32">
        <f>SUM(I6:I10)</f>
        <v>11.5</v>
      </c>
      <c r="J11" s="2"/>
      <c r="L11" s="32">
        <f>SUM(L6:L10)</f>
        <v>12.3</v>
      </c>
      <c r="M11" s="32">
        <f>SUM(M6:M10)</f>
        <v>27.5</v>
      </c>
    </row>
    <row r="12" spans="1:14" ht="12.75">
      <c r="A12" s="2" t="s">
        <v>15</v>
      </c>
      <c r="B12" s="33">
        <f>CEILING(0.8*C12,0.05)</f>
        <v>0.5</v>
      </c>
      <c r="C12" s="33">
        <f>CEILING($I$2*8,10)*0.01</f>
        <v>0.6</v>
      </c>
      <c r="D12" s="1">
        <f>F3-SUM(D13:D22)</f>
        <v>0</v>
      </c>
      <c r="E12" s="1">
        <f>F3-SUM(E13:E22)+2</f>
        <v>1</v>
      </c>
      <c r="F12" s="33">
        <f>($B12*D12+E12*$C12)</f>
        <v>0.6</v>
      </c>
      <c r="G12" s="1">
        <f>I3-SUM(G13:G22)</f>
        <v>1</v>
      </c>
      <c r="H12" s="1">
        <f>I3-SUM(H13:H22)+2</f>
        <v>2</v>
      </c>
      <c r="I12" s="33">
        <f>($B12*G12+H12*$C12+$C12)</f>
        <v>2.3</v>
      </c>
      <c r="J12" s="1">
        <f>L3-SUM(J13:J22)</f>
        <v>2</v>
      </c>
      <c r="K12" s="1">
        <f>L3-SUM(K13:K22)+2</f>
        <v>3</v>
      </c>
      <c r="L12" s="33">
        <f>($B12*J12+K12*$C12+$C12)</f>
        <v>3.4</v>
      </c>
      <c r="M12" s="33">
        <f aca="true" t="shared" si="0" ref="M12:M22">SUM(F12,I12,L12)</f>
        <v>6.3</v>
      </c>
      <c r="N12" t="s">
        <v>155</v>
      </c>
    </row>
    <row r="13" spans="1:14" ht="12.75">
      <c r="A13" s="2" t="s">
        <v>16</v>
      </c>
      <c r="B13" s="33">
        <f>CEILING(0.8*C13,0.1)</f>
        <v>0.5</v>
      </c>
      <c r="C13" s="33">
        <f>CEILING($I$2*8,10)*0.01</f>
        <v>0.6</v>
      </c>
      <c r="D13" s="1"/>
      <c r="E13" s="1">
        <v>1</v>
      </c>
      <c r="F13" s="33">
        <f>CEILING(($B13*D13+E13*$C13),0.1)</f>
        <v>0.6000000000000001</v>
      </c>
      <c r="G13" s="1"/>
      <c r="H13" s="1">
        <v>3</v>
      </c>
      <c r="I13" s="33">
        <f>CEILING(($B13*G13+H13*$C13),0.1)</f>
        <v>1.8</v>
      </c>
      <c r="J13" s="1"/>
      <c r="K13" s="1">
        <v>3</v>
      </c>
      <c r="L13" s="33">
        <f>CEILING(($B13*J13+K13*$C13),0.1)</f>
        <v>1.8</v>
      </c>
      <c r="M13" s="33">
        <f t="shared" si="0"/>
        <v>4.2</v>
      </c>
      <c r="N13" t="s">
        <v>152</v>
      </c>
    </row>
    <row r="14" spans="1:14" ht="12.75">
      <c r="A14" s="2" t="s">
        <v>17</v>
      </c>
      <c r="B14" s="33">
        <f>CEILING(0.8*C14,0.1)</f>
        <v>0.5</v>
      </c>
      <c r="C14" s="33">
        <f>CEILING($I$2*8,10)*0.01</f>
        <v>0.6</v>
      </c>
      <c r="D14" s="1"/>
      <c r="E14" s="1">
        <v>2</v>
      </c>
      <c r="F14" s="33">
        <f>CEILING(($B14*D14+E14*$C14),0.1)</f>
        <v>1.2000000000000002</v>
      </c>
      <c r="G14" s="1">
        <v>1</v>
      </c>
      <c r="H14" s="1">
        <v>2</v>
      </c>
      <c r="I14" s="33">
        <f>CEILING(($B14*G14+H14*$C14),0.1)</f>
        <v>1.7000000000000002</v>
      </c>
      <c r="J14" s="1">
        <v>1</v>
      </c>
      <c r="K14" s="1">
        <v>2</v>
      </c>
      <c r="L14" s="33">
        <f>CEILING(($B14*J14+K14*$C14),0.1)</f>
        <v>1.7000000000000002</v>
      </c>
      <c r="M14" s="33">
        <f t="shared" si="0"/>
        <v>4.6000000000000005</v>
      </c>
      <c r="N14" t="s">
        <v>156</v>
      </c>
    </row>
    <row r="15" spans="1:14" ht="12.75">
      <c r="A15" s="2" t="s">
        <v>129</v>
      </c>
      <c r="B15" s="33">
        <f>CEILING(0.8*C15,0.1)</f>
        <v>0.5</v>
      </c>
      <c r="C15" s="33">
        <f>CEILING($I$2*8,10)*0.01</f>
        <v>0.6</v>
      </c>
      <c r="D15" s="1"/>
      <c r="E15" s="1">
        <v>1</v>
      </c>
      <c r="F15" s="33">
        <f>CEILING(($B15*D15+E15*$C15),0.1)</f>
        <v>0.6000000000000001</v>
      </c>
      <c r="G15" s="1">
        <v>1</v>
      </c>
      <c r="H15" s="1">
        <v>1</v>
      </c>
      <c r="I15" s="33">
        <f>CEILING(($B15*G15+H15*$C15),0.1)</f>
        <v>1.1</v>
      </c>
      <c r="J15" s="1">
        <v>1</v>
      </c>
      <c r="K15" s="1">
        <v>1</v>
      </c>
      <c r="L15" s="33">
        <f>CEILING(($B15*J15+K15*$C15),0.1)</f>
        <v>1.1</v>
      </c>
      <c r="M15" s="33">
        <f t="shared" si="0"/>
        <v>2.8000000000000003</v>
      </c>
      <c r="N15" t="s">
        <v>153</v>
      </c>
    </row>
    <row r="16" spans="1:14" ht="12.75">
      <c r="A16" s="2" t="s">
        <v>114</v>
      </c>
      <c r="B16" s="33"/>
      <c r="C16" s="33">
        <f>FLOOR($I$2*0.03,0.01)</f>
        <v>0.21</v>
      </c>
      <c r="D16" s="1"/>
      <c r="E16" s="1">
        <v>2</v>
      </c>
      <c r="F16" s="71">
        <f>($B16*D16+E16*$C16)</f>
        <v>0.42</v>
      </c>
      <c r="G16" s="1"/>
      <c r="H16" s="1">
        <v>5</v>
      </c>
      <c r="I16" s="71">
        <f>($B16*G16+H16*$C16)</f>
        <v>1.05</v>
      </c>
      <c r="J16" s="1"/>
      <c r="K16" s="1">
        <v>4</v>
      </c>
      <c r="L16" s="71">
        <f>($B16*J16+K16*$C16)</f>
        <v>0.84</v>
      </c>
      <c r="M16" s="33">
        <f t="shared" si="0"/>
        <v>2.31</v>
      </c>
      <c r="N16" t="s">
        <v>154</v>
      </c>
    </row>
    <row r="17" spans="1:14" ht="12.75">
      <c r="A17" s="2" t="s">
        <v>19</v>
      </c>
      <c r="B17" s="33">
        <f>CEILING($I$2*5.5,5)*0.01</f>
        <v>0.4</v>
      </c>
      <c r="C17" s="33"/>
      <c r="D17" s="1">
        <v>1</v>
      </c>
      <c r="E17" s="1"/>
      <c r="F17" s="33">
        <f aca="true" t="shared" si="1" ref="F17:F22">CEILING(($B17*D17+E17*$C17),0.1)</f>
        <v>0.4</v>
      </c>
      <c r="G17" s="1">
        <f>FLOOR(I3/5,1)</f>
        <v>2</v>
      </c>
      <c r="H17" s="1"/>
      <c r="I17" s="33">
        <f aca="true" t="shared" si="2" ref="I17:I22">CEILING(($B17*G17+H17*$C17),0.1)</f>
        <v>0.8</v>
      </c>
      <c r="J17" s="1">
        <f>FLOOR(L3/5,1)</f>
        <v>2</v>
      </c>
      <c r="K17" s="1"/>
      <c r="L17" s="33">
        <f aca="true" t="shared" si="3" ref="L17:L22">CEILING(($B17*J17+K17*$C17),0.1)</f>
        <v>0.8</v>
      </c>
      <c r="M17" s="33">
        <f t="shared" si="0"/>
        <v>2</v>
      </c>
      <c r="N17" t="s">
        <v>153</v>
      </c>
    </row>
    <row r="18" spans="1:14" ht="12.75">
      <c r="A18" s="2" t="s">
        <v>20</v>
      </c>
      <c r="B18" s="33">
        <f>CEILING($I$2*5.5,5)*0.01</f>
        <v>0.4</v>
      </c>
      <c r="C18" s="33"/>
      <c r="D18" s="1">
        <v>1</v>
      </c>
      <c r="E18" s="1"/>
      <c r="F18" s="33">
        <f t="shared" si="1"/>
        <v>0.4</v>
      </c>
      <c r="G18" s="1">
        <v>1</v>
      </c>
      <c r="H18" s="1"/>
      <c r="I18" s="33">
        <f t="shared" si="2"/>
        <v>0.4</v>
      </c>
      <c r="J18" s="1"/>
      <c r="K18" s="1"/>
      <c r="L18" s="33">
        <f t="shared" si="3"/>
        <v>0</v>
      </c>
      <c r="M18" s="33">
        <f t="shared" si="0"/>
        <v>0.8</v>
      </c>
      <c r="N18" t="s">
        <v>157</v>
      </c>
    </row>
    <row r="19" spans="1:14" ht="12.75">
      <c r="A19" s="2" t="s">
        <v>118</v>
      </c>
      <c r="B19" s="33">
        <f>$B$12</f>
        <v>0.5</v>
      </c>
      <c r="C19" s="33">
        <f>CEILING($I$2*8,10)*0.01</f>
        <v>0.6</v>
      </c>
      <c r="D19" s="1"/>
      <c r="E19" s="1"/>
      <c r="F19" s="33">
        <f t="shared" si="1"/>
        <v>0</v>
      </c>
      <c r="G19" s="1">
        <v>1</v>
      </c>
      <c r="H19" s="1">
        <v>1</v>
      </c>
      <c r="I19" s="33">
        <f t="shared" si="2"/>
        <v>1.1</v>
      </c>
      <c r="J19" s="1">
        <v>1</v>
      </c>
      <c r="K19" s="1">
        <v>1</v>
      </c>
      <c r="L19" s="33">
        <f t="shared" si="3"/>
        <v>1.1</v>
      </c>
      <c r="M19" s="33">
        <f t="shared" si="0"/>
        <v>2.2</v>
      </c>
      <c r="N19" t="s">
        <v>157</v>
      </c>
    </row>
    <row r="20" spans="1:14" ht="12.75">
      <c r="A20" s="2" t="s">
        <v>54</v>
      </c>
      <c r="B20" s="33">
        <f>CEILING($I$2*5.5,5)*0.01</f>
        <v>0.4</v>
      </c>
      <c r="C20" s="33"/>
      <c r="D20" s="1">
        <v>1</v>
      </c>
      <c r="E20" s="1"/>
      <c r="F20" s="71">
        <f t="shared" si="1"/>
        <v>0.4</v>
      </c>
      <c r="G20" s="1">
        <v>2</v>
      </c>
      <c r="H20" s="1"/>
      <c r="I20" s="71">
        <f t="shared" si="2"/>
        <v>0.8</v>
      </c>
      <c r="J20" s="1">
        <v>2</v>
      </c>
      <c r="K20" s="1"/>
      <c r="L20" s="71">
        <f t="shared" si="3"/>
        <v>0.8</v>
      </c>
      <c r="M20" s="33">
        <f t="shared" si="0"/>
        <v>2</v>
      </c>
      <c r="N20" t="s">
        <v>154</v>
      </c>
    </row>
    <row r="21" spans="1:14" ht="12.75">
      <c r="A21" s="2" t="s">
        <v>113</v>
      </c>
      <c r="B21" s="33">
        <f>$B$12</f>
        <v>0.5</v>
      </c>
      <c r="C21" s="33"/>
      <c r="D21" s="1">
        <v>1</v>
      </c>
      <c r="E21" s="1"/>
      <c r="F21" s="33">
        <f t="shared" si="1"/>
        <v>0.5</v>
      </c>
      <c r="G21" s="1">
        <v>1</v>
      </c>
      <c r="H21" s="1"/>
      <c r="I21" s="33">
        <f t="shared" si="2"/>
        <v>0.5</v>
      </c>
      <c r="J21" s="1">
        <v>1</v>
      </c>
      <c r="K21" s="1"/>
      <c r="L21" s="33">
        <f t="shared" si="3"/>
        <v>0.5</v>
      </c>
      <c r="M21" s="33">
        <f t="shared" si="0"/>
        <v>1.5</v>
      </c>
      <c r="N21" t="s">
        <v>155</v>
      </c>
    </row>
    <row r="22" spans="1:14" ht="12.75">
      <c r="A22" s="2" t="s">
        <v>18</v>
      </c>
      <c r="B22" s="33">
        <f>FLOOR($I$2*0.06,0.125)</f>
        <v>0.375</v>
      </c>
      <c r="C22" s="33"/>
      <c r="D22" s="1">
        <v>1</v>
      </c>
      <c r="E22" s="1"/>
      <c r="F22" s="33">
        <f t="shared" si="1"/>
        <v>0.4</v>
      </c>
      <c r="G22" s="1">
        <v>2</v>
      </c>
      <c r="H22" s="1"/>
      <c r="I22" s="33">
        <f t="shared" si="2"/>
        <v>0.8</v>
      </c>
      <c r="J22" s="1">
        <v>2</v>
      </c>
      <c r="K22" s="1"/>
      <c r="L22" s="33">
        <f t="shared" si="3"/>
        <v>0.8</v>
      </c>
      <c r="M22" s="33">
        <f t="shared" si="0"/>
        <v>2</v>
      </c>
      <c r="N22" t="s">
        <v>156</v>
      </c>
    </row>
    <row r="23" spans="1:13" ht="12.75">
      <c r="A23" s="3"/>
      <c r="B23" s="33"/>
      <c r="C23" s="33"/>
      <c r="F23" s="32">
        <f>SUM(F12:F22)</f>
        <v>5.520000000000001</v>
      </c>
      <c r="G23" s="2"/>
      <c r="H23" s="2"/>
      <c r="I23" s="32">
        <f>SUM(I12:I22)</f>
        <v>12.350000000000001</v>
      </c>
      <c r="J23" s="32"/>
      <c r="L23" s="32">
        <f>SUM(L12:L22)</f>
        <v>12.840000000000002</v>
      </c>
      <c r="M23" s="32">
        <f>SUM(M12:M22)</f>
        <v>30.71</v>
      </c>
    </row>
    <row r="24" spans="1:14" ht="12.75">
      <c r="A24" s="2" t="s">
        <v>21</v>
      </c>
      <c r="B24" s="33"/>
      <c r="C24" s="33"/>
      <c r="D24"/>
      <c r="E24" s="1">
        <f>SUM(D12:D22)-D14-D15</f>
        <v>5</v>
      </c>
      <c r="F24" s="33">
        <f>CEILING(E24*$I$2*0.01,0.1)</f>
        <v>0.4</v>
      </c>
      <c r="H24" s="1">
        <f>SUM(G12:G22)-G14-G15</f>
        <v>10</v>
      </c>
      <c r="I24" s="33">
        <f>CEILING(H24*$I$2*0.01,0.1)</f>
        <v>0.7000000000000001</v>
      </c>
      <c r="K24" s="1">
        <f>SUM(J12:J22)-J14-J15</f>
        <v>10</v>
      </c>
      <c r="L24" s="33">
        <f>CEILING(K24*$I$2*0.01,0.1)</f>
        <v>0.7000000000000001</v>
      </c>
      <c r="M24" s="33">
        <f aca="true" t="shared" si="4" ref="M24:M33">SUM(F24,I24,L24)</f>
        <v>1.8000000000000003</v>
      </c>
      <c r="N24" t="s">
        <v>157</v>
      </c>
    </row>
    <row r="25" spans="1:14" ht="12.75">
      <c r="A25" s="2" t="s">
        <v>150</v>
      </c>
      <c r="B25" s="33"/>
      <c r="C25" s="33"/>
      <c r="D25"/>
      <c r="E25" s="1"/>
      <c r="F25" s="33"/>
      <c r="H25" s="1"/>
      <c r="I25" s="33">
        <v>0.45</v>
      </c>
      <c r="K25" s="1"/>
      <c r="L25" s="33">
        <v>0.45</v>
      </c>
      <c r="M25" s="33">
        <f t="shared" si="4"/>
        <v>0.9</v>
      </c>
      <c r="N25" t="s">
        <v>153</v>
      </c>
    </row>
    <row r="26" spans="1:14" ht="12.75">
      <c r="A26" s="2" t="s">
        <v>22</v>
      </c>
      <c r="B26" s="33"/>
      <c r="C26" s="33"/>
      <c r="D26" s="1"/>
      <c r="E26" s="1">
        <f>E24</f>
        <v>5</v>
      </c>
      <c r="F26" s="33">
        <f>CEILING(E26*$I$2*0.006,0.1)</f>
        <v>0.30000000000000004</v>
      </c>
      <c r="G26" s="1"/>
      <c r="H26" s="1">
        <f>H24</f>
        <v>10</v>
      </c>
      <c r="I26" s="33">
        <f>CEILING(H26*$I$2*0.006,0.1)</f>
        <v>0.5</v>
      </c>
      <c r="J26" s="1"/>
      <c r="K26" s="1">
        <f>K24</f>
        <v>10</v>
      </c>
      <c r="L26" s="33">
        <f>CEILING(K26*$I$2*0.006,0.1)</f>
        <v>0.5</v>
      </c>
      <c r="M26" s="33">
        <f t="shared" si="4"/>
        <v>1.3</v>
      </c>
      <c r="N26" t="s">
        <v>155</v>
      </c>
    </row>
    <row r="27" spans="1:14" ht="12.75">
      <c r="A27" s="2" t="s">
        <v>120</v>
      </c>
      <c r="B27" s="33"/>
      <c r="C27" s="33"/>
      <c r="D27" s="1"/>
      <c r="E27" s="1"/>
      <c r="F27" s="33">
        <f>CEILING(0.005*$I$2*F$3,0.1)</f>
        <v>0.2</v>
      </c>
      <c r="G27" s="1"/>
      <c r="H27" s="1"/>
      <c r="I27" s="33">
        <f>CEILING(0.005*$I$2*I$3,0.1)</f>
        <v>0.5</v>
      </c>
      <c r="J27" s="1"/>
      <c r="K27" s="1"/>
      <c r="L27" s="33">
        <f>CEILING(0.005*$I$2*L$3,0.1)</f>
        <v>0.5</v>
      </c>
      <c r="M27" s="33">
        <f t="shared" si="4"/>
        <v>1.2</v>
      </c>
      <c r="N27" t="s">
        <v>157</v>
      </c>
    </row>
    <row r="28" spans="1:14" ht="12" customHeight="1">
      <c r="A28" s="2" t="s">
        <v>51</v>
      </c>
      <c r="B28" s="33"/>
      <c r="C28" s="33"/>
      <c r="D28" s="1"/>
      <c r="E28" s="1"/>
      <c r="F28" s="33">
        <f>FLOOR(0.01*$I$2*F$3,0.1)</f>
        <v>0.30000000000000004</v>
      </c>
      <c r="G28" s="1"/>
      <c r="H28" s="1"/>
      <c r="I28" s="33">
        <f>FLOOR(0.01*$I$2*I$3,0.1)</f>
        <v>0.8</v>
      </c>
      <c r="J28" s="1"/>
      <c r="K28" s="1"/>
      <c r="L28" s="33">
        <f>FLOOR(0.01*$I$2*L$3,0.1)</f>
        <v>0.8</v>
      </c>
      <c r="M28" s="33">
        <f t="shared" si="4"/>
        <v>1.9000000000000001</v>
      </c>
      <c r="N28" t="s">
        <v>156</v>
      </c>
    </row>
    <row r="29" spans="1:14" ht="12.75">
      <c r="A29" s="2" t="s">
        <v>24</v>
      </c>
      <c r="B29" s="33"/>
      <c r="C29" s="33"/>
      <c r="D29" s="1"/>
      <c r="E29" s="1"/>
      <c r="F29" s="33">
        <f>0.25*F28</f>
        <v>0.07500000000000001</v>
      </c>
      <c r="G29" s="1"/>
      <c r="H29" s="1"/>
      <c r="I29" s="33">
        <f>FLOOR(0.25*I28,0.1)</f>
        <v>0.2</v>
      </c>
      <c r="J29" s="1"/>
      <c r="K29" s="1"/>
      <c r="L29" s="33">
        <f>FLOOR(0.25*L28,0.1)</f>
        <v>0.2</v>
      </c>
      <c r="M29" s="33">
        <f t="shared" si="4"/>
        <v>0.47500000000000003</v>
      </c>
      <c r="N29" t="s">
        <v>156</v>
      </c>
    </row>
    <row r="30" spans="1:14" ht="12.75">
      <c r="A30" s="2" t="s">
        <v>25</v>
      </c>
      <c r="B30" s="33"/>
      <c r="C30" s="33"/>
      <c r="D30" s="1"/>
      <c r="E30" s="1"/>
      <c r="F30" s="71">
        <f>FLOOR(0.007*F$3*$I$2,0.1)</f>
        <v>0.2</v>
      </c>
      <c r="G30" s="1"/>
      <c r="H30" s="1"/>
      <c r="I30" s="71">
        <f>FLOOR(0.007*I$3*$I$2,0.1)</f>
        <v>0.5</v>
      </c>
      <c r="J30" s="1"/>
      <c r="K30" s="1"/>
      <c r="L30" s="71">
        <f>FLOOR(0.007*L$3*$I$2,0.1)</f>
        <v>0.5</v>
      </c>
      <c r="M30" s="33">
        <f t="shared" si="4"/>
        <v>1.2</v>
      </c>
      <c r="N30" t="s">
        <v>154</v>
      </c>
    </row>
    <row r="31" spans="1:14" ht="12.75">
      <c r="A31" s="2" t="s">
        <v>160</v>
      </c>
      <c r="B31" s="33"/>
      <c r="C31" s="33"/>
      <c r="D31" s="1"/>
      <c r="E31" s="1"/>
      <c r="F31" s="71">
        <f>FLOOR(0.0015*$I$2*F$3,0.05)</f>
        <v>0.05</v>
      </c>
      <c r="G31" s="1"/>
      <c r="H31" s="1"/>
      <c r="I31" s="71">
        <f>CEILING(0.0025*$I$2*I$3,0.05)</f>
        <v>0.25</v>
      </c>
      <c r="J31" s="1"/>
      <c r="K31" s="1"/>
      <c r="L31" s="71">
        <f>CEILING(0.0025*$I$2*L$3,0.05)</f>
        <v>0.25</v>
      </c>
      <c r="M31" s="33">
        <f t="shared" si="4"/>
        <v>0.55</v>
      </c>
      <c r="N31" t="s">
        <v>154</v>
      </c>
    </row>
    <row r="32" spans="1:14" ht="12.75">
      <c r="A32" s="2" t="s">
        <v>26</v>
      </c>
      <c r="B32" s="33"/>
      <c r="C32" s="33"/>
      <c r="D32" s="1"/>
      <c r="E32" s="1">
        <v>1</v>
      </c>
      <c r="F32" s="33">
        <f>0.01*E32*$I$2</f>
        <v>0.07</v>
      </c>
      <c r="G32" s="1"/>
      <c r="H32" s="1">
        <f>I3/2</f>
        <v>6</v>
      </c>
      <c r="I32" s="33">
        <f>0.01*H32*$I$2</f>
        <v>0.42</v>
      </c>
      <c r="J32" s="1"/>
      <c r="K32" s="1">
        <f>L3/2</f>
        <v>6</v>
      </c>
      <c r="L32" s="33">
        <f>0.01*K32*$I$2</f>
        <v>0.42</v>
      </c>
      <c r="M32" s="33">
        <f t="shared" si="4"/>
        <v>0.9099999999999999</v>
      </c>
      <c r="N32" t="s">
        <v>151</v>
      </c>
    </row>
    <row r="33" spans="1:14" ht="12.75">
      <c r="A33" s="2" t="s">
        <v>47</v>
      </c>
      <c r="B33" s="33"/>
      <c r="C33" s="33"/>
      <c r="D33" s="1"/>
      <c r="E33" s="1"/>
      <c r="F33" s="33">
        <v>0.5</v>
      </c>
      <c r="G33" s="1"/>
      <c r="H33" s="1"/>
      <c r="I33" s="33">
        <v>1</v>
      </c>
      <c r="J33" s="1"/>
      <c r="K33" s="1"/>
      <c r="L33" s="33">
        <v>1</v>
      </c>
      <c r="M33" s="33">
        <f t="shared" si="4"/>
        <v>2.5</v>
      </c>
      <c r="N33" t="s">
        <v>153</v>
      </c>
    </row>
    <row r="34" spans="1:13" ht="12.75">
      <c r="A34" s="3"/>
      <c r="B34" s="33"/>
      <c r="C34" s="33"/>
      <c r="D34" s="1"/>
      <c r="E34" s="1"/>
      <c r="F34" s="32">
        <f>SUM(F24:F33)</f>
        <v>2.095</v>
      </c>
      <c r="G34" s="1"/>
      <c r="H34" s="1"/>
      <c r="I34" s="32">
        <f>SUM(I24:I33)</f>
        <v>5.32</v>
      </c>
      <c r="J34" s="1"/>
      <c r="K34" s="1"/>
      <c r="L34" s="32">
        <f>SUM(L24:L33)</f>
        <v>5.32</v>
      </c>
      <c r="M34" s="32">
        <f>SUM(M24:M33)</f>
        <v>12.735000000000001</v>
      </c>
    </row>
    <row r="35" spans="1:14" ht="12.75">
      <c r="A35" s="2" t="s">
        <v>27</v>
      </c>
      <c r="B35" s="33"/>
      <c r="C35" s="33"/>
      <c r="D35" s="1"/>
      <c r="E35" s="1"/>
      <c r="F35" s="33">
        <f>FLOOR(0.07*F$3*$I$2,0.1)</f>
        <v>2.4000000000000004</v>
      </c>
      <c r="G35" s="1"/>
      <c r="H35" s="1"/>
      <c r="I35" s="33">
        <f>FLOOR(0.07*I$3*$I$2,0.1)</f>
        <v>5.800000000000001</v>
      </c>
      <c r="J35" s="1"/>
      <c r="K35" s="1"/>
      <c r="L35" s="33">
        <f>FLOOR(0.07*L$3*$I$2,0.1)</f>
        <v>5.800000000000001</v>
      </c>
      <c r="M35" s="33">
        <f aca="true" t="shared" si="5" ref="M35:M55">SUM(F35,I35,L35)</f>
        <v>14.000000000000002</v>
      </c>
      <c r="N35" t="s">
        <v>159</v>
      </c>
    </row>
    <row r="36" spans="1:14" ht="12.75">
      <c r="A36" s="2" t="s">
        <v>28</v>
      </c>
      <c r="B36" s="33"/>
      <c r="C36" s="33"/>
      <c r="D36" s="1"/>
      <c r="E36" s="1"/>
      <c r="F36" s="33">
        <v>0</v>
      </c>
      <c r="G36" s="1"/>
      <c r="H36" s="1"/>
      <c r="I36" s="33">
        <f>CEILING(0.2*I35,0.1)</f>
        <v>1.2000000000000002</v>
      </c>
      <c r="J36" s="1"/>
      <c r="K36" s="1"/>
      <c r="L36" s="33">
        <f>CEILING(0.2*L35,0.1)</f>
        <v>1.2000000000000002</v>
      </c>
      <c r="M36" s="33">
        <f t="shared" si="5"/>
        <v>2.4000000000000004</v>
      </c>
      <c r="N36" t="s">
        <v>151</v>
      </c>
    </row>
    <row r="37" spans="1:14" ht="12.75">
      <c r="A37" s="2" t="s">
        <v>44</v>
      </c>
      <c r="B37" s="33"/>
      <c r="C37" s="33"/>
      <c r="D37" s="1"/>
      <c r="E37" s="1"/>
      <c r="F37" s="71">
        <f>FLOOR(0.007*$I$2*F$3,0.1)</f>
        <v>0.2</v>
      </c>
      <c r="G37" s="1"/>
      <c r="H37" s="1"/>
      <c r="I37" s="71">
        <f>FLOOR(0.005*$I$2*I$3,0.1)</f>
        <v>0.4</v>
      </c>
      <c r="J37" s="1"/>
      <c r="K37" s="1"/>
      <c r="L37" s="71">
        <f>FLOOR(0.006*$I$2*L$3,0.1)</f>
        <v>0.5</v>
      </c>
      <c r="M37" s="33">
        <f t="shared" si="5"/>
        <v>1.1</v>
      </c>
      <c r="N37" t="s">
        <v>154</v>
      </c>
    </row>
    <row r="38" spans="1:14" ht="12" customHeight="1">
      <c r="A38" s="2" t="s">
        <v>29</v>
      </c>
      <c r="B38" s="33"/>
      <c r="C38" s="33"/>
      <c r="D38" s="1"/>
      <c r="E38" s="1"/>
      <c r="F38" s="33">
        <f>FLOOR(0.7*F36,0.1)</f>
        <v>0</v>
      </c>
      <c r="G38" s="1"/>
      <c r="H38" s="1"/>
      <c r="I38" s="33">
        <f>FLOOR(0.7*I36,0.1)</f>
        <v>0.8</v>
      </c>
      <c r="J38" s="1"/>
      <c r="K38" s="1"/>
      <c r="L38" s="33">
        <f>FLOOR(0.7*L36,0.1)</f>
        <v>0.8</v>
      </c>
      <c r="M38" s="33">
        <f t="shared" si="5"/>
        <v>1.6</v>
      </c>
      <c r="N38" t="s">
        <v>151</v>
      </c>
    </row>
    <row r="39" spans="1:14" ht="12.75">
      <c r="A39" s="2" t="s">
        <v>61</v>
      </c>
      <c r="B39" s="33"/>
      <c r="C39" s="33"/>
      <c r="D39" s="1"/>
      <c r="E39" s="1"/>
      <c r="F39" s="33">
        <f>CEILING(0.05*$I$2*F$3,0.1)</f>
        <v>1.8</v>
      </c>
      <c r="G39" s="1"/>
      <c r="H39" s="1"/>
      <c r="I39" s="33">
        <f>CEILING(0.035*$I$2*I$3,0.1)</f>
        <v>3</v>
      </c>
      <c r="J39" s="1"/>
      <c r="K39" s="1"/>
      <c r="L39" s="33">
        <f>CEILING(0.035*$I$2*L$3,0.1)</f>
        <v>3</v>
      </c>
      <c r="M39" s="33">
        <f t="shared" si="5"/>
        <v>7.8</v>
      </c>
      <c r="N39" t="s">
        <v>152</v>
      </c>
    </row>
    <row r="40" spans="1:14" ht="12.75">
      <c r="A40" s="2" t="s">
        <v>30</v>
      </c>
      <c r="B40" s="33"/>
      <c r="C40" s="33"/>
      <c r="D40" s="1"/>
      <c r="E40" s="1"/>
      <c r="F40" s="33">
        <v>0</v>
      </c>
      <c r="G40" s="1"/>
      <c r="H40" s="1"/>
      <c r="I40" s="33">
        <f>CEILING(0.01*$I$2*I$3,0.1)</f>
        <v>0.9</v>
      </c>
      <c r="J40" s="1"/>
      <c r="K40" s="1"/>
      <c r="L40" s="33">
        <f>CEILING(0.01*$I$2*L$3,0.1)</f>
        <v>0.9</v>
      </c>
      <c r="M40" s="33">
        <f t="shared" si="5"/>
        <v>1.8</v>
      </c>
      <c r="N40" t="s">
        <v>153</v>
      </c>
    </row>
    <row r="41" spans="1:14" ht="12.75">
      <c r="A41" s="2" t="s">
        <v>137</v>
      </c>
      <c r="B41" s="33"/>
      <c r="C41" s="33"/>
      <c r="D41" s="1"/>
      <c r="E41" s="1"/>
      <c r="F41" s="33">
        <v>0</v>
      </c>
      <c r="G41" s="1"/>
      <c r="H41" s="1"/>
      <c r="I41" s="33">
        <f>CEILING(0.0085*$I$2*I$3,0.05)</f>
        <v>0.75</v>
      </c>
      <c r="J41" s="1"/>
      <c r="K41" s="1"/>
      <c r="L41" s="33">
        <f>CEILING(0.0085*$I$2*L$3,0.05)</f>
        <v>0.75</v>
      </c>
      <c r="M41" s="33">
        <f t="shared" si="5"/>
        <v>1.5</v>
      </c>
      <c r="N41" t="s">
        <v>156</v>
      </c>
    </row>
    <row r="42" spans="1:14" ht="12.75">
      <c r="A42" s="2" t="s">
        <v>31</v>
      </c>
      <c r="B42" s="33"/>
      <c r="C42" s="33"/>
      <c r="D42" s="1"/>
      <c r="E42" s="1"/>
      <c r="F42" s="33">
        <f>F38</f>
        <v>0</v>
      </c>
      <c r="G42" s="1"/>
      <c r="H42" s="1"/>
      <c r="I42" s="33">
        <f>I38</f>
        <v>0.8</v>
      </c>
      <c r="J42" s="1"/>
      <c r="K42" s="1"/>
      <c r="L42" s="33">
        <f>L38</f>
        <v>0.8</v>
      </c>
      <c r="M42" s="33">
        <f t="shared" si="5"/>
        <v>1.6</v>
      </c>
      <c r="N42" t="s">
        <v>157</v>
      </c>
    </row>
    <row r="43" spans="1:14" ht="12.75">
      <c r="A43" s="2" t="s">
        <v>32</v>
      </c>
      <c r="B43" s="33"/>
      <c r="C43" s="33"/>
      <c r="D43" s="1"/>
      <c r="E43" s="1"/>
      <c r="F43" s="33">
        <f>CEILING(0.015*F$3*$I$2,0.1)</f>
        <v>0.6000000000000001</v>
      </c>
      <c r="G43" s="1"/>
      <c r="H43" s="1"/>
      <c r="I43" s="33">
        <f>CEILING(0.015*I$3*$I$2,0.1)</f>
        <v>1.3</v>
      </c>
      <c r="J43" s="1"/>
      <c r="K43" s="1"/>
      <c r="L43" s="33">
        <f>CEILING(0.015*L$3*$I$2,0.1)</f>
        <v>1.3</v>
      </c>
      <c r="M43" s="33">
        <f t="shared" si="5"/>
        <v>3.2</v>
      </c>
      <c r="N43" t="s">
        <v>157</v>
      </c>
    </row>
    <row r="44" spans="1:14" ht="14.25" customHeight="1">
      <c r="A44" s="2" t="s">
        <v>33</v>
      </c>
      <c r="B44" s="33"/>
      <c r="C44" s="33"/>
      <c r="D44" s="1"/>
      <c r="E44" s="1"/>
      <c r="F44" s="33">
        <f>FLOOR(F$43/3,0.1)</f>
        <v>0.2</v>
      </c>
      <c r="G44" s="1"/>
      <c r="H44" s="1"/>
      <c r="I44" s="33">
        <f>FLOOR(I$43/3,0.1)</f>
        <v>0.4</v>
      </c>
      <c r="J44" s="1"/>
      <c r="K44" s="1"/>
      <c r="L44" s="33">
        <f>FLOOR(L$43/3,0.1)</f>
        <v>0.4</v>
      </c>
      <c r="M44" s="33">
        <f t="shared" si="5"/>
        <v>1</v>
      </c>
      <c r="N44" t="s">
        <v>157</v>
      </c>
    </row>
    <row r="45" spans="1:14" ht="12.75">
      <c r="A45" s="2" t="s">
        <v>34</v>
      </c>
      <c r="B45" s="33"/>
      <c r="C45" s="33"/>
      <c r="D45" s="1"/>
      <c r="E45" s="1"/>
      <c r="F45" s="33">
        <f>FLOOR(F$43/2,0.1)</f>
        <v>0.30000000000000004</v>
      </c>
      <c r="G45" s="1"/>
      <c r="H45" s="1"/>
      <c r="I45" s="33">
        <f>FLOOR(I$43/2,0.1)</f>
        <v>0.6000000000000001</v>
      </c>
      <c r="J45" s="1"/>
      <c r="K45" s="1"/>
      <c r="L45" s="33">
        <f>FLOOR(L$43/2,0.1)</f>
        <v>0.6000000000000001</v>
      </c>
      <c r="M45" s="33">
        <f t="shared" si="5"/>
        <v>1.5000000000000002</v>
      </c>
      <c r="N45" t="s">
        <v>157</v>
      </c>
    </row>
    <row r="46" spans="1:13" ht="12.75">
      <c r="A46" s="3"/>
      <c r="B46" s="33"/>
      <c r="C46" s="33"/>
      <c r="D46" s="1"/>
      <c r="E46" s="1"/>
      <c r="F46" s="32">
        <f>SUM(F35:F45)</f>
        <v>5.5</v>
      </c>
      <c r="G46" s="1"/>
      <c r="H46" s="1"/>
      <c r="I46" s="32">
        <f>SUM(I35:I45)</f>
        <v>15.950000000000003</v>
      </c>
      <c r="J46" s="1"/>
      <c r="K46" s="1"/>
      <c r="L46" s="32">
        <f>SUM(L35:L45)</f>
        <v>16.050000000000004</v>
      </c>
      <c r="M46" s="46">
        <f t="shared" si="5"/>
        <v>37.50000000000001</v>
      </c>
    </row>
    <row r="47" spans="1:14" ht="12.75">
      <c r="A47" s="2" t="s">
        <v>35</v>
      </c>
      <c r="B47" s="33"/>
      <c r="C47" s="33"/>
      <c r="D47" s="1"/>
      <c r="E47" s="1"/>
      <c r="F47" s="71">
        <f>FLOOR(0.0025*F$3*$I$2,0.05)</f>
        <v>0.05</v>
      </c>
      <c r="G47" s="1"/>
      <c r="H47" s="1"/>
      <c r="I47" s="71">
        <f>FLOOR(0.0025*I$3*$I$2,0.05)</f>
        <v>0.2</v>
      </c>
      <c r="J47" s="1"/>
      <c r="K47" s="1"/>
      <c r="L47" s="71">
        <f>FLOOR(0.0025*L$3*$I$2,0.05)</f>
        <v>0.2</v>
      </c>
      <c r="M47" s="33">
        <f t="shared" si="5"/>
        <v>0.45</v>
      </c>
      <c r="N47" t="s">
        <v>154</v>
      </c>
    </row>
    <row r="48" spans="1:14" ht="12.75">
      <c r="A48" s="2" t="s">
        <v>115</v>
      </c>
      <c r="B48" s="33"/>
      <c r="C48" s="33"/>
      <c r="D48" s="1" t="s">
        <v>37</v>
      </c>
      <c r="E48" s="1"/>
      <c r="F48" s="71">
        <f>FLOOR(0.009*F$3*$I$2,0.1)</f>
        <v>0.30000000000000004</v>
      </c>
      <c r="G48" s="1" t="s">
        <v>37</v>
      </c>
      <c r="H48" s="1"/>
      <c r="I48" s="71">
        <f>FLOOR(0.009*I$3*$I$2,0.1)</f>
        <v>0.7000000000000001</v>
      </c>
      <c r="J48" s="1" t="s">
        <v>37</v>
      </c>
      <c r="K48" s="1"/>
      <c r="L48" s="71">
        <f>FLOOR(0.009*L$3*$I$2,0.1)</f>
        <v>0.7000000000000001</v>
      </c>
      <c r="M48" s="33">
        <f t="shared" si="5"/>
        <v>1.7000000000000002</v>
      </c>
      <c r="N48" t="s">
        <v>154</v>
      </c>
    </row>
    <row r="49" spans="1:14" ht="12.75">
      <c r="A49" s="2" t="s">
        <v>55</v>
      </c>
      <c r="B49" s="33"/>
      <c r="C49" s="33"/>
      <c r="D49" s="1"/>
      <c r="E49" s="1"/>
      <c r="F49" s="33">
        <f>CEILING(E49*$I$2*0.06,0.1)</f>
        <v>0</v>
      </c>
      <c r="G49" s="1"/>
      <c r="H49" s="1">
        <v>2</v>
      </c>
      <c r="I49" s="33">
        <f>CEILING(H49*$I$2*0.06,0.1)</f>
        <v>0.9</v>
      </c>
      <c r="J49" s="1"/>
      <c r="K49" s="1">
        <v>2</v>
      </c>
      <c r="L49" s="33">
        <f>CEILING(K49*$I$2*0.06,0.1)</f>
        <v>0.9</v>
      </c>
      <c r="M49" s="33">
        <f t="shared" si="5"/>
        <v>1.8</v>
      </c>
      <c r="N49" t="s">
        <v>155</v>
      </c>
    </row>
    <row r="50" spans="1:14" ht="12.75">
      <c r="A50" s="2" t="s">
        <v>38</v>
      </c>
      <c r="B50" s="33"/>
      <c r="C50" s="33"/>
      <c r="D50" s="1"/>
      <c r="E50" s="1"/>
      <c r="F50" s="33">
        <f>E50*0.1</f>
        <v>0</v>
      </c>
      <c r="G50" s="1"/>
      <c r="H50" s="1">
        <v>1</v>
      </c>
      <c r="I50" s="33">
        <f>H50*0.1</f>
        <v>0.1</v>
      </c>
      <c r="J50" s="1"/>
      <c r="K50" s="1">
        <v>1</v>
      </c>
      <c r="L50" s="33">
        <f>K50*0.1</f>
        <v>0.1</v>
      </c>
      <c r="M50" s="33">
        <f t="shared" si="5"/>
        <v>0.2</v>
      </c>
      <c r="N50" t="s">
        <v>155</v>
      </c>
    </row>
    <row r="51" spans="1:14" ht="12.75">
      <c r="A51" s="2" t="s">
        <v>45</v>
      </c>
      <c r="B51" s="33"/>
      <c r="C51" s="33"/>
      <c r="D51" s="1"/>
      <c r="E51" s="1"/>
      <c r="G51" s="1"/>
      <c r="H51" s="1">
        <v>1</v>
      </c>
      <c r="I51" s="33">
        <f>$I$2*0.1</f>
        <v>0.7000000000000001</v>
      </c>
      <c r="J51" s="1"/>
      <c r="K51" s="1">
        <v>1</v>
      </c>
      <c r="L51" s="33">
        <f>$I$2*0.1</f>
        <v>0.7000000000000001</v>
      </c>
      <c r="M51" s="33">
        <f t="shared" si="5"/>
        <v>1.4000000000000001</v>
      </c>
      <c r="N51" t="s">
        <v>157</v>
      </c>
    </row>
    <row r="52" spans="1:13" ht="12.75">
      <c r="A52" s="3"/>
      <c r="B52" s="33"/>
      <c r="C52" s="33"/>
      <c r="D52" s="1"/>
      <c r="E52" s="1"/>
      <c r="F52" s="32">
        <f>SUM(F47:F51)</f>
        <v>0.35000000000000003</v>
      </c>
      <c r="G52" s="1"/>
      <c r="H52" s="1"/>
      <c r="I52" s="32">
        <f>SUM(I47:I51)</f>
        <v>2.6000000000000005</v>
      </c>
      <c r="J52" s="1"/>
      <c r="K52" s="1"/>
      <c r="L52" s="32">
        <f>SUM(L47:L51)</f>
        <v>2.6000000000000005</v>
      </c>
      <c r="M52" s="46">
        <f t="shared" si="5"/>
        <v>5.550000000000001</v>
      </c>
    </row>
    <row r="53" spans="1:14" ht="12.75">
      <c r="A53" s="2" t="s">
        <v>39</v>
      </c>
      <c r="B53" s="33"/>
      <c r="C53" s="33"/>
      <c r="D53" s="1"/>
      <c r="E53" s="1"/>
      <c r="F53" s="33">
        <f>FLOOR(0.07*F$3*$I$2,0.1)</f>
        <v>2.4000000000000004</v>
      </c>
      <c r="G53" s="1"/>
      <c r="H53" s="1"/>
      <c r="I53" s="33">
        <f>FLOOR(0.07*I$3*$I$2,0.1)</f>
        <v>5.800000000000001</v>
      </c>
      <c r="J53" s="1"/>
      <c r="K53" s="1"/>
      <c r="L53" s="33">
        <f>FLOOR(0.07*L$3*$I$2,0.1)</f>
        <v>5.800000000000001</v>
      </c>
      <c r="M53" s="33">
        <f t="shared" si="5"/>
        <v>14.000000000000002</v>
      </c>
      <c r="N53" t="s">
        <v>159</v>
      </c>
    </row>
    <row r="54" spans="1:14" ht="12.75">
      <c r="A54" s="2" t="s">
        <v>116</v>
      </c>
      <c r="B54" s="33"/>
      <c r="C54" s="33"/>
      <c r="D54" s="1"/>
      <c r="E54" s="1"/>
      <c r="F54" s="33">
        <f>FLOOR(0.3*F$53,0.1)</f>
        <v>0.7000000000000001</v>
      </c>
      <c r="G54" s="1"/>
      <c r="H54" s="1"/>
      <c r="I54" s="33">
        <f>FLOOR(0.3*I$53,0.1)</f>
        <v>1.7000000000000002</v>
      </c>
      <c r="J54" s="1"/>
      <c r="K54" s="1"/>
      <c r="L54" s="33">
        <f>FLOOR(0.3*L$53,0.1)</f>
        <v>1.7000000000000002</v>
      </c>
      <c r="M54" s="33">
        <f t="shared" si="5"/>
        <v>4.1000000000000005</v>
      </c>
      <c r="N54" t="s">
        <v>151</v>
      </c>
    </row>
    <row r="55" spans="1:14" ht="12.75">
      <c r="A55" s="2" t="s">
        <v>117</v>
      </c>
      <c r="B55" s="33"/>
      <c r="C55" s="33"/>
      <c r="D55" s="1"/>
      <c r="E55" s="1"/>
      <c r="F55" s="33">
        <f>FLOOR(0.2*F$53,0.1)</f>
        <v>0.4</v>
      </c>
      <c r="G55" s="1"/>
      <c r="H55" s="1"/>
      <c r="I55" s="33">
        <f>FLOOR(0.2*I$53,0.1)</f>
        <v>1.1</v>
      </c>
      <c r="J55" s="1"/>
      <c r="K55" s="1"/>
      <c r="L55" s="33">
        <f>FLOOR(0.2*L$53,0.1)</f>
        <v>1.1</v>
      </c>
      <c r="M55" s="33">
        <f t="shared" si="5"/>
        <v>2.6</v>
      </c>
      <c r="N55" t="s">
        <v>155</v>
      </c>
    </row>
    <row r="56" spans="1:13" ht="12.75">
      <c r="A56" s="3"/>
      <c r="B56" s="33"/>
      <c r="C56" s="33"/>
      <c r="F56" s="32">
        <f>SUM(F53:F55)</f>
        <v>3.5000000000000004</v>
      </c>
      <c r="G56" s="2"/>
      <c r="H56" s="2"/>
      <c r="I56" s="32">
        <f>SUM(I53:I55)</f>
        <v>8.600000000000001</v>
      </c>
      <c r="J56" s="2"/>
      <c r="L56" s="32">
        <f>SUM(L53:L55)</f>
        <v>8.600000000000001</v>
      </c>
      <c r="M56" s="32">
        <f>SUM(M53:M55)</f>
        <v>20.700000000000003</v>
      </c>
    </row>
    <row r="57" spans="2:13" ht="12.75">
      <c r="B57" s="33"/>
      <c r="C57" s="33"/>
      <c r="F57" s="32"/>
      <c r="G57" s="2"/>
      <c r="H57" s="2"/>
      <c r="I57" s="32"/>
      <c r="J57" s="2"/>
      <c r="L57" s="33"/>
      <c r="M57" s="33"/>
    </row>
    <row r="58" spans="1:13" ht="15.75">
      <c r="A58" s="39" t="s">
        <v>41</v>
      </c>
      <c r="B58" s="40"/>
      <c r="C58" s="40"/>
      <c r="D58" s="41"/>
      <c r="E58" s="41"/>
      <c r="F58" s="42">
        <f>SUM(F11,F56,F52,F46,F34,F23)</f>
        <v>20.665000000000003</v>
      </c>
      <c r="G58" s="41"/>
      <c r="H58" s="41"/>
      <c r="I58" s="42">
        <f>SUM(I11,I56,I52,I46,I34,I23)</f>
        <v>56.32000000000001</v>
      </c>
      <c r="J58" s="41"/>
      <c r="K58" s="41"/>
      <c r="L58" s="42">
        <f>SUM(L11,L56,L52,L46,L34,L23)</f>
        <v>57.710000000000015</v>
      </c>
      <c r="M58" s="42">
        <f>SUM(F58,I58,L58)</f>
        <v>134.69500000000002</v>
      </c>
    </row>
    <row r="59" spans="1:13" ht="15.75">
      <c r="A59" s="8" t="s">
        <v>42</v>
      </c>
      <c r="B59" s="34"/>
      <c r="C59" s="34"/>
      <c r="D59" s="9"/>
      <c r="E59" s="9"/>
      <c r="F59" s="35">
        <f>F58/F$3/$I$2</f>
        <v>0.5904285714285715</v>
      </c>
      <c r="G59" s="9"/>
      <c r="H59" s="9"/>
      <c r="I59" s="35">
        <f>I58/I$3/$I$2</f>
        <v>0.6704761904761906</v>
      </c>
      <c r="J59" s="9"/>
      <c r="K59" s="9"/>
      <c r="L59" s="35">
        <f>L58/L$3/$I$2</f>
        <v>0.6870238095238097</v>
      </c>
      <c r="M59" s="35">
        <f>M58/I2/F2</f>
        <v>0.6635221674876848</v>
      </c>
    </row>
    <row r="60" spans="1:13" ht="15.75">
      <c r="A60" s="43" t="s">
        <v>100</v>
      </c>
      <c r="B60" s="40"/>
      <c r="C60" s="40"/>
      <c r="D60" s="41"/>
      <c r="E60" s="41"/>
      <c r="F60" s="42">
        <f>F3+1</f>
        <v>6</v>
      </c>
      <c r="G60" s="41"/>
      <c r="H60" s="41"/>
      <c r="I60" s="42">
        <f>I3</f>
        <v>12</v>
      </c>
      <c r="J60" s="41"/>
      <c r="K60" s="41"/>
      <c r="L60" s="42">
        <f>L3+3</f>
        <v>15</v>
      </c>
      <c r="M60" s="42">
        <f>SUM(D60:L60)</f>
        <v>33</v>
      </c>
    </row>
    <row r="61" spans="1:13" ht="15.75">
      <c r="A61" s="43" t="s">
        <v>101</v>
      </c>
      <c r="B61" s="40"/>
      <c r="C61" s="40"/>
      <c r="D61" s="41"/>
      <c r="E61" s="41"/>
      <c r="F61" s="42">
        <f>CEILING(F58*1.07+0.8*F60,0.1)</f>
        <v>27</v>
      </c>
      <c r="G61" s="41"/>
      <c r="H61" s="41"/>
      <c r="I61" s="42">
        <f>CEILING(I58*1.07+0.8*I60,0.1)</f>
        <v>69.9</v>
      </c>
      <c r="J61" s="41"/>
      <c r="K61" s="41"/>
      <c r="L61" s="42">
        <f>CEILING(L58*1.07+0.8*L60,0.1)</f>
        <v>73.8</v>
      </c>
      <c r="M61" s="42">
        <f>CEILING(M58*1.07+0.8*M60,0.1)</f>
        <v>170.60000000000002</v>
      </c>
    </row>
    <row r="62" spans="1:13" ht="15.75">
      <c r="A62" s="39" t="s">
        <v>99</v>
      </c>
      <c r="B62" s="40"/>
      <c r="C62" s="40"/>
      <c r="D62" s="41"/>
      <c r="E62" s="41"/>
      <c r="F62" s="42">
        <f>CEILING(F61/$I$2,0.1)</f>
        <v>3.9000000000000004</v>
      </c>
      <c r="G62" s="41"/>
      <c r="H62" s="41"/>
      <c r="I62" s="42">
        <f>CEILING(I61/$I$2,0.1)</f>
        <v>10</v>
      </c>
      <c r="J62" s="41"/>
      <c r="K62" s="41"/>
      <c r="L62" s="42">
        <f>CEILING(L61/$I$2,0.1)</f>
        <v>10.600000000000001</v>
      </c>
      <c r="M62" s="42">
        <f>SUM(D62:L62)</f>
        <v>24.5</v>
      </c>
    </row>
    <row r="63" ht="12.75">
      <c r="L63" s="33"/>
    </row>
  </sheetData>
  <autoFilter ref="A1:N62"/>
  <printOptions gridLines="1" horizont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workbookViewId="0" topLeftCell="A1">
      <selection activeCell="D26" sqref="D26"/>
    </sheetView>
  </sheetViews>
  <sheetFormatPr defaultColWidth="9.00390625" defaultRowHeight="12.75"/>
  <cols>
    <col min="1" max="1" width="23.625" style="0" customWidth="1"/>
    <col min="2" max="2" width="17.125" style="0" customWidth="1"/>
    <col min="3" max="3" width="20.625" style="0" customWidth="1"/>
    <col min="4" max="4" width="17.875" style="0" customWidth="1"/>
  </cols>
  <sheetData>
    <row r="1" spans="1:2" ht="15.75">
      <c r="A1" s="18" t="s">
        <v>119</v>
      </c>
      <c r="B1" s="18"/>
    </row>
    <row r="2" spans="1:4" ht="15.75">
      <c r="A2" s="37">
        <f>Раскладка!F2</f>
        <v>29</v>
      </c>
      <c r="B2" s="18" t="s">
        <v>0</v>
      </c>
      <c r="C2" s="37">
        <f>Раскладка!I2</f>
        <v>7</v>
      </c>
      <c r="D2" s="18" t="s">
        <v>1</v>
      </c>
    </row>
    <row r="3" ht="13.5" thickBot="1"/>
    <row r="4" spans="1:4" ht="13.5" thickBot="1">
      <c r="A4" s="23" t="s">
        <v>48</v>
      </c>
      <c r="B4" s="24" t="s">
        <v>49</v>
      </c>
      <c r="C4" s="24" t="s">
        <v>50</v>
      </c>
      <c r="D4" s="25" t="s">
        <v>98</v>
      </c>
    </row>
    <row r="5" spans="1:4" ht="12.75">
      <c r="A5" s="22" t="s">
        <v>11</v>
      </c>
      <c r="B5" s="36">
        <f>Раскладка!M6</f>
        <v>11.900000000000002</v>
      </c>
      <c r="C5" s="20">
        <v>500</v>
      </c>
      <c r="D5" s="21">
        <f aca="true" t="shared" si="0" ref="D5:D24">B5*C5</f>
        <v>5950.000000000001</v>
      </c>
    </row>
    <row r="6" spans="1:4" ht="12.75">
      <c r="A6" s="22" t="s">
        <v>12</v>
      </c>
      <c r="B6" s="36">
        <f>Раскладка!M7</f>
        <v>2.5</v>
      </c>
      <c r="C6" s="20">
        <v>160</v>
      </c>
      <c r="D6" s="21">
        <f t="shared" si="0"/>
        <v>400</v>
      </c>
    </row>
    <row r="7" spans="1:4" ht="12.75">
      <c r="A7" s="22" t="s">
        <v>53</v>
      </c>
      <c r="B7" s="36">
        <f>Раскладка!M8</f>
        <v>6</v>
      </c>
      <c r="C7" s="20">
        <v>200</v>
      </c>
      <c r="D7" s="21">
        <f t="shared" si="0"/>
        <v>1200</v>
      </c>
    </row>
    <row r="8" spans="1:4" ht="12.75">
      <c r="A8" s="22" t="s">
        <v>13</v>
      </c>
      <c r="B8" s="36">
        <f>Раскладка!M9</f>
        <v>3.0000000000000004</v>
      </c>
      <c r="C8" s="20">
        <v>380</v>
      </c>
      <c r="D8" s="21">
        <f t="shared" si="0"/>
        <v>1140.0000000000002</v>
      </c>
    </row>
    <row r="9" spans="1:4" ht="12.75">
      <c r="A9" s="22" t="s">
        <v>14</v>
      </c>
      <c r="B9" s="36">
        <f>Раскладка!M10</f>
        <v>4.1</v>
      </c>
      <c r="C9" s="20">
        <v>300</v>
      </c>
      <c r="D9" s="21">
        <f t="shared" si="0"/>
        <v>1230</v>
      </c>
    </row>
    <row r="10" spans="1:4" ht="12.75">
      <c r="A10" s="22" t="s">
        <v>15</v>
      </c>
      <c r="B10" s="36">
        <f>Раскладка!M12</f>
        <v>6.3</v>
      </c>
      <c r="C10" s="20">
        <v>40</v>
      </c>
      <c r="D10" s="21">
        <f t="shared" si="0"/>
        <v>252</v>
      </c>
    </row>
    <row r="11" spans="1:4" ht="12.75">
      <c r="A11" s="22" t="s">
        <v>16</v>
      </c>
      <c r="B11" s="36">
        <f>Раскладка!M13</f>
        <v>4.2</v>
      </c>
      <c r="C11" s="20">
        <v>30</v>
      </c>
      <c r="D11" s="21">
        <f t="shared" si="0"/>
        <v>126</v>
      </c>
    </row>
    <row r="12" spans="1:4" ht="12.75">
      <c r="A12" s="22" t="s">
        <v>17</v>
      </c>
      <c r="B12" s="36">
        <f>Раскладка!M14</f>
        <v>4.6000000000000005</v>
      </c>
      <c r="C12" s="20">
        <v>40</v>
      </c>
      <c r="D12" s="21">
        <f t="shared" si="0"/>
        <v>184.00000000000003</v>
      </c>
    </row>
    <row r="13" spans="1:4" ht="12.75">
      <c r="A13" s="22" t="s">
        <v>129</v>
      </c>
      <c r="B13" s="36">
        <f>Раскладка!M15</f>
        <v>2.8000000000000003</v>
      </c>
      <c r="C13" s="20">
        <v>30</v>
      </c>
      <c r="D13" s="21">
        <f t="shared" si="0"/>
        <v>84.00000000000001</v>
      </c>
    </row>
    <row r="14" spans="1:4" ht="12.75">
      <c r="A14" s="22" t="s">
        <v>114</v>
      </c>
      <c r="B14" s="36">
        <f>Раскладка!M16</f>
        <v>2.31</v>
      </c>
      <c r="C14" s="20">
        <v>500</v>
      </c>
      <c r="D14" s="21">
        <f t="shared" si="0"/>
        <v>1155</v>
      </c>
    </row>
    <row r="15" spans="1:4" ht="12.75">
      <c r="A15" s="22" t="s">
        <v>19</v>
      </c>
      <c r="B15" s="36">
        <f>Раскладка!M17</f>
        <v>2</v>
      </c>
      <c r="C15" s="20">
        <v>30</v>
      </c>
      <c r="D15" s="21">
        <f t="shared" si="0"/>
        <v>60</v>
      </c>
    </row>
    <row r="16" spans="1:4" ht="12.75">
      <c r="A16" s="22" t="s">
        <v>20</v>
      </c>
      <c r="B16" s="36">
        <f>Раскладка!M18</f>
        <v>0.8</v>
      </c>
      <c r="C16" s="20">
        <v>30</v>
      </c>
      <c r="D16" s="21">
        <f t="shared" si="0"/>
        <v>24</v>
      </c>
    </row>
    <row r="17" spans="1:4" ht="12.75">
      <c r="A17" s="22" t="s">
        <v>54</v>
      </c>
      <c r="B17" s="36">
        <f>Раскладка!M20</f>
        <v>2</v>
      </c>
      <c r="C17" s="20">
        <v>120</v>
      </c>
      <c r="D17" s="21">
        <f t="shared" si="0"/>
        <v>240</v>
      </c>
    </row>
    <row r="18" spans="1:4" ht="12.75">
      <c r="A18" s="22" t="s">
        <v>18</v>
      </c>
      <c r="B18" s="36">
        <f>Раскладка!M22</f>
        <v>2</v>
      </c>
      <c r="C18" s="20">
        <v>160</v>
      </c>
      <c r="D18" s="21">
        <f t="shared" si="0"/>
        <v>320</v>
      </c>
    </row>
    <row r="19" spans="1:4" ht="12.75">
      <c r="A19" s="22" t="s">
        <v>21</v>
      </c>
      <c r="B19" s="36">
        <f>Раскладка!M24</f>
        <v>1.8000000000000003</v>
      </c>
      <c r="C19" s="20">
        <v>300</v>
      </c>
      <c r="D19" s="21">
        <f t="shared" si="0"/>
        <v>540.0000000000001</v>
      </c>
    </row>
    <row r="20" spans="1:4" ht="12.75">
      <c r="A20" s="2" t="s">
        <v>150</v>
      </c>
      <c r="B20" s="36">
        <f>Раскладка!M25</f>
        <v>0.9</v>
      </c>
      <c r="C20" s="20">
        <v>100</v>
      </c>
      <c r="D20" s="21">
        <f t="shared" si="0"/>
        <v>90</v>
      </c>
    </row>
    <row r="21" spans="1:4" ht="12.75">
      <c r="A21" s="22" t="s">
        <v>22</v>
      </c>
      <c r="B21" s="36">
        <f>Раскладка!M26</f>
        <v>1.3</v>
      </c>
      <c r="C21" s="20">
        <v>150</v>
      </c>
      <c r="D21" s="21">
        <f t="shared" si="0"/>
        <v>195</v>
      </c>
    </row>
    <row r="22" spans="1:4" ht="12.75">
      <c r="A22" s="22" t="s">
        <v>23</v>
      </c>
      <c r="B22" s="36">
        <f>Раскладка!M27</f>
        <v>1.2</v>
      </c>
      <c r="C22" s="20">
        <v>80</v>
      </c>
      <c r="D22" s="21">
        <f t="shared" si="0"/>
        <v>96</v>
      </c>
    </row>
    <row r="23" spans="1:4" ht="12.75">
      <c r="A23" s="22" t="s">
        <v>51</v>
      </c>
      <c r="B23" s="36">
        <f>Раскладка!M28</f>
        <v>1.9000000000000001</v>
      </c>
      <c r="C23" s="20">
        <v>30</v>
      </c>
      <c r="D23" s="21">
        <f>B23*C23</f>
        <v>57.00000000000001</v>
      </c>
    </row>
    <row r="24" spans="1:4" ht="12.75">
      <c r="A24" s="22" t="s">
        <v>24</v>
      </c>
      <c r="B24" s="36">
        <f>Раскладка!M29</f>
        <v>0.47500000000000003</v>
      </c>
      <c r="C24" s="20">
        <v>120</v>
      </c>
      <c r="D24" s="21">
        <f t="shared" si="0"/>
        <v>57.00000000000001</v>
      </c>
    </row>
    <row r="25" spans="1:4" ht="12.75">
      <c r="A25" s="22" t="s">
        <v>25</v>
      </c>
      <c r="B25" s="36">
        <f>Раскладка!M30</f>
        <v>1.2</v>
      </c>
      <c r="C25" s="20">
        <v>15</v>
      </c>
      <c r="D25" s="21">
        <f aca="true" t="shared" si="1" ref="D25:D45">B25*C25</f>
        <v>18</v>
      </c>
    </row>
    <row r="26" spans="1:4" ht="12.75">
      <c r="A26" s="22" t="s">
        <v>46</v>
      </c>
      <c r="B26" s="36">
        <f>Раскладка!M31</f>
        <v>0.55</v>
      </c>
      <c r="C26" s="20">
        <v>160</v>
      </c>
      <c r="D26" s="21">
        <f t="shared" si="1"/>
        <v>88</v>
      </c>
    </row>
    <row r="27" spans="1:4" ht="12.75">
      <c r="A27" s="22" t="s">
        <v>26</v>
      </c>
      <c r="B27" s="36">
        <f>Раскладка!M32</f>
        <v>0.9099999999999999</v>
      </c>
      <c r="C27" s="20">
        <v>150</v>
      </c>
      <c r="D27" s="21">
        <f t="shared" si="1"/>
        <v>136.5</v>
      </c>
    </row>
    <row r="28" spans="1:4" ht="12.75">
      <c r="A28" s="22" t="s">
        <v>47</v>
      </c>
      <c r="B28" s="36">
        <f>Раскладка!M33</f>
        <v>2.5</v>
      </c>
      <c r="C28" s="20">
        <v>120</v>
      </c>
      <c r="D28" s="21">
        <f t="shared" si="1"/>
        <v>300</v>
      </c>
    </row>
    <row r="29" spans="1:4" ht="12.75">
      <c r="A29" s="22" t="s">
        <v>27</v>
      </c>
      <c r="B29" s="36">
        <f>Раскладка!M35</f>
        <v>14.000000000000002</v>
      </c>
      <c r="C29" s="20">
        <v>20</v>
      </c>
      <c r="D29" s="21">
        <f t="shared" si="1"/>
        <v>280.00000000000006</v>
      </c>
    </row>
    <row r="30" spans="1:4" ht="12.75">
      <c r="A30" s="22" t="s">
        <v>28</v>
      </c>
      <c r="B30" s="36">
        <f>Раскладка!M36</f>
        <v>2.4000000000000004</v>
      </c>
      <c r="C30" s="20">
        <v>35</v>
      </c>
      <c r="D30" s="21">
        <f t="shared" si="1"/>
        <v>84.00000000000001</v>
      </c>
    </row>
    <row r="31" spans="1:4" ht="12.75">
      <c r="A31" s="22" t="s">
        <v>44</v>
      </c>
      <c r="B31" s="36">
        <f>Раскладка!M37</f>
        <v>1.1</v>
      </c>
      <c r="C31" s="20">
        <v>300</v>
      </c>
      <c r="D31" s="21">
        <f t="shared" si="1"/>
        <v>330</v>
      </c>
    </row>
    <row r="32" spans="1:4" ht="12.75">
      <c r="A32" s="22" t="s">
        <v>29</v>
      </c>
      <c r="B32" s="36">
        <f>Раскладка!M38</f>
        <v>1.6</v>
      </c>
      <c r="C32" s="20">
        <v>50</v>
      </c>
      <c r="D32" s="21">
        <f t="shared" si="1"/>
        <v>80</v>
      </c>
    </row>
    <row r="33" spans="1:4" ht="12.75">
      <c r="A33" s="22" t="s">
        <v>60</v>
      </c>
      <c r="B33" s="36">
        <f>Раскладка!M39</f>
        <v>7.8</v>
      </c>
      <c r="C33" s="20">
        <v>180</v>
      </c>
      <c r="D33" s="21">
        <f t="shared" si="1"/>
        <v>1404</v>
      </c>
    </row>
    <row r="34" spans="1:4" ht="12.75">
      <c r="A34" s="22" t="s">
        <v>30</v>
      </c>
      <c r="B34" s="36">
        <f>Раскладка!M40</f>
        <v>1.8</v>
      </c>
      <c r="C34" s="20">
        <v>150</v>
      </c>
      <c r="D34" s="21">
        <f t="shared" si="1"/>
        <v>270</v>
      </c>
    </row>
    <row r="35" spans="1:4" ht="12.75">
      <c r="A35" s="22" t="s">
        <v>137</v>
      </c>
      <c r="B35" s="36">
        <f>Раскладка!M41</f>
        <v>1.5</v>
      </c>
      <c r="C35" s="20">
        <v>180</v>
      </c>
      <c r="D35" s="21">
        <f>B35*C35</f>
        <v>270</v>
      </c>
    </row>
    <row r="36" spans="1:4" ht="12.75">
      <c r="A36" s="22" t="s">
        <v>31</v>
      </c>
      <c r="B36" s="36">
        <f>Раскладка!M42</f>
        <v>1.6</v>
      </c>
      <c r="C36" s="20">
        <v>200</v>
      </c>
      <c r="D36" s="21">
        <f t="shared" si="1"/>
        <v>320</v>
      </c>
    </row>
    <row r="37" spans="1:4" ht="12.75">
      <c r="A37" s="22" t="s">
        <v>32</v>
      </c>
      <c r="B37" s="36">
        <f>Раскладка!M43</f>
        <v>3.2</v>
      </c>
      <c r="C37" s="20">
        <v>150</v>
      </c>
      <c r="D37" s="21">
        <f t="shared" si="1"/>
        <v>480</v>
      </c>
    </row>
    <row r="38" spans="1:4" ht="12.75">
      <c r="A38" s="22" t="s">
        <v>33</v>
      </c>
      <c r="B38" s="36">
        <f>Раскладка!M44</f>
        <v>1</v>
      </c>
      <c r="C38" s="20">
        <v>150</v>
      </c>
      <c r="D38" s="21">
        <f t="shared" si="1"/>
        <v>150</v>
      </c>
    </row>
    <row r="39" spans="1:4" ht="12.75">
      <c r="A39" s="22" t="s">
        <v>34</v>
      </c>
      <c r="B39" s="36">
        <f>Раскладка!M45</f>
        <v>1.5000000000000002</v>
      </c>
      <c r="C39" s="20">
        <v>480</v>
      </c>
      <c r="D39" s="21">
        <f t="shared" si="1"/>
        <v>720.0000000000001</v>
      </c>
    </row>
    <row r="40" spans="1:4" ht="12.75">
      <c r="A40" s="22" t="s">
        <v>35</v>
      </c>
      <c r="B40" s="36">
        <f>Раскладка!M47</f>
        <v>0.45</v>
      </c>
      <c r="C40" s="20">
        <v>1300</v>
      </c>
      <c r="D40" s="21">
        <f t="shared" si="1"/>
        <v>585</v>
      </c>
    </row>
    <row r="41" spans="1:4" ht="12.75">
      <c r="A41" s="22" t="s">
        <v>36</v>
      </c>
      <c r="B41" s="36">
        <f>Раскладка!M48</f>
        <v>1.7000000000000002</v>
      </c>
      <c r="C41" s="20">
        <v>400</v>
      </c>
      <c r="D41" s="21">
        <f t="shared" si="1"/>
        <v>680.0000000000001</v>
      </c>
    </row>
    <row r="42" spans="1:4" ht="12.75">
      <c r="A42" s="22" t="s">
        <v>38</v>
      </c>
      <c r="B42" s="36">
        <f>Раскладка!M50</f>
        <v>0.2</v>
      </c>
      <c r="C42" s="20">
        <v>180</v>
      </c>
      <c r="D42" s="21">
        <f t="shared" si="1"/>
        <v>36</v>
      </c>
    </row>
    <row r="43" spans="1:4" ht="12.75">
      <c r="A43" s="22" t="s">
        <v>45</v>
      </c>
      <c r="B43" s="36">
        <f>Раскладка!M51</f>
        <v>1.4000000000000001</v>
      </c>
      <c r="C43" s="20">
        <v>130</v>
      </c>
      <c r="D43" s="21">
        <f t="shared" si="1"/>
        <v>182.00000000000003</v>
      </c>
    </row>
    <row r="44" spans="1:4" ht="12.75">
      <c r="A44" s="22" t="s">
        <v>39</v>
      </c>
      <c r="B44" s="36">
        <f>Раскладка!M53</f>
        <v>14.000000000000002</v>
      </c>
      <c r="C44" s="20">
        <v>45</v>
      </c>
      <c r="D44" s="21">
        <f t="shared" si="1"/>
        <v>630.0000000000001</v>
      </c>
    </row>
    <row r="45" spans="1:4" ht="13.5" thickBot="1">
      <c r="A45" s="27" t="s">
        <v>40</v>
      </c>
      <c r="B45" s="36">
        <f>Раскладка!M55</f>
        <v>2.6</v>
      </c>
      <c r="C45" s="28">
        <v>60</v>
      </c>
      <c r="D45" s="29">
        <f t="shared" si="1"/>
        <v>156</v>
      </c>
    </row>
    <row r="46" spans="1:4" ht="13.5" thickBot="1">
      <c r="A46" s="31" t="s">
        <v>43</v>
      </c>
      <c r="B46" s="30"/>
      <c r="C46" s="26"/>
      <c r="D46" s="25">
        <f>SUM(D5:D45)</f>
        <v>20599.5</v>
      </c>
    </row>
    <row r="47" ht="12.75">
      <c r="A47" s="2"/>
    </row>
    <row r="48" ht="12.75">
      <c r="A48" s="2"/>
    </row>
  </sheetData>
  <printOptions/>
  <pageMargins left="0.75" right="0.75" top="1" bottom="1" header="0.5" footer="0.5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I4" sqref="I4:I10"/>
    </sheetView>
  </sheetViews>
  <sheetFormatPr defaultColWidth="9.00390625" defaultRowHeight="12.75"/>
  <cols>
    <col min="1" max="1" width="3.875" style="0" customWidth="1"/>
    <col min="2" max="2" width="12.625" style="0" customWidth="1"/>
  </cols>
  <sheetData>
    <row r="1" ht="12.75">
      <c r="B1" s="17" t="s">
        <v>244</v>
      </c>
    </row>
    <row r="2" spans="2:6" ht="12.75">
      <c r="B2" t="s">
        <v>245</v>
      </c>
      <c r="C2">
        <v>3</v>
      </c>
      <c r="D2">
        <v>3</v>
      </c>
      <c r="E2">
        <v>3</v>
      </c>
      <c r="F2">
        <v>2</v>
      </c>
    </row>
    <row r="3" spans="2:8" ht="12.75">
      <c r="B3" t="s">
        <v>246</v>
      </c>
      <c r="C3" t="s">
        <v>247</v>
      </c>
      <c r="D3" t="s">
        <v>248</v>
      </c>
      <c r="E3" t="s">
        <v>249</v>
      </c>
      <c r="F3" t="s">
        <v>255</v>
      </c>
      <c r="G3" t="s">
        <v>43</v>
      </c>
      <c r="H3" t="s">
        <v>261</v>
      </c>
    </row>
    <row r="4" spans="1:9" ht="12.75">
      <c r="A4">
        <v>1</v>
      </c>
      <c r="B4" t="s">
        <v>250</v>
      </c>
      <c r="C4" s="33"/>
      <c r="D4" s="33">
        <v>0.1</v>
      </c>
      <c r="E4" s="33">
        <v>0.03</v>
      </c>
      <c r="F4" s="33"/>
      <c r="G4" s="33">
        <f>C4*C$2+D4*D$2+E4*E$2+F$2*F4</f>
        <v>0.39</v>
      </c>
      <c r="H4" s="33">
        <v>0.33</v>
      </c>
      <c r="I4" s="33">
        <v>0.3</v>
      </c>
    </row>
    <row r="5" spans="1:9" ht="12.75">
      <c r="A5">
        <v>2</v>
      </c>
      <c r="B5" t="s">
        <v>251</v>
      </c>
      <c r="C5" s="33"/>
      <c r="D5" s="33"/>
      <c r="E5" s="33">
        <v>0.08</v>
      </c>
      <c r="F5" s="33"/>
      <c r="G5" s="33">
        <f aca="true" t="shared" si="0" ref="G5:G14">C5*C$2+D5*D$2+E5*E$2+F$2*F5</f>
        <v>0.24</v>
      </c>
      <c r="H5" s="33">
        <v>0.08</v>
      </c>
      <c r="I5">
        <v>0.1</v>
      </c>
    </row>
    <row r="6" spans="1:8" ht="12.75">
      <c r="A6">
        <v>3</v>
      </c>
      <c r="B6" t="s">
        <v>256</v>
      </c>
      <c r="C6" s="33"/>
      <c r="D6" s="33"/>
      <c r="E6" s="33"/>
      <c r="F6" s="33">
        <v>0.04</v>
      </c>
      <c r="G6" s="33">
        <f t="shared" si="0"/>
        <v>0.08</v>
      </c>
      <c r="H6" s="33">
        <f>G6</f>
        <v>0.08</v>
      </c>
    </row>
    <row r="7" spans="1:9" ht="12.75">
      <c r="A7">
        <v>4</v>
      </c>
      <c r="B7" t="s">
        <v>257</v>
      </c>
      <c r="C7" s="33"/>
      <c r="D7" s="33"/>
      <c r="E7" s="33">
        <v>0.01</v>
      </c>
      <c r="F7" s="33">
        <v>0.03</v>
      </c>
      <c r="G7" s="33">
        <f t="shared" si="0"/>
        <v>0.09</v>
      </c>
      <c r="H7" s="33">
        <f>G7</f>
        <v>0.09</v>
      </c>
      <c r="I7">
        <v>0.1</v>
      </c>
    </row>
    <row r="8" spans="1:8" ht="12.75">
      <c r="A8">
        <v>5</v>
      </c>
      <c r="B8" t="s">
        <v>252</v>
      </c>
      <c r="C8" s="33">
        <v>0.05</v>
      </c>
      <c r="D8" s="33">
        <v>0.03</v>
      </c>
      <c r="E8" s="33">
        <v>0.02</v>
      </c>
      <c r="F8" s="33">
        <v>0.07</v>
      </c>
      <c r="G8" s="33">
        <f t="shared" si="0"/>
        <v>0.44000000000000006</v>
      </c>
      <c r="H8" s="33">
        <v>0.35</v>
      </c>
    </row>
    <row r="9" spans="1:9" ht="12.75">
      <c r="A9">
        <v>6</v>
      </c>
      <c r="B9" t="s">
        <v>253</v>
      </c>
      <c r="C9" s="33">
        <v>0.04</v>
      </c>
      <c r="D9" s="33">
        <v>0.03</v>
      </c>
      <c r="E9" s="33">
        <v>0.03</v>
      </c>
      <c r="F9" s="33"/>
      <c r="G9" s="33">
        <f t="shared" si="0"/>
        <v>0.3</v>
      </c>
      <c r="H9" s="33">
        <v>0.2</v>
      </c>
      <c r="I9" s="33">
        <v>0.3</v>
      </c>
    </row>
    <row r="10" spans="1:9" ht="12.75">
      <c r="A10">
        <v>7</v>
      </c>
      <c r="B10" t="s">
        <v>254</v>
      </c>
      <c r="C10" s="33">
        <v>0.03</v>
      </c>
      <c r="D10" s="33">
        <v>0.03</v>
      </c>
      <c r="E10" s="33">
        <v>0.02</v>
      </c>
      <c r="F10" s="33">
        <v>0.03</v>
      </c>
      <c r="G10" s="33">
        <f t="shared" si="0"/>
        <v>0.3</v>
      </c>
      <c r="H10" s="33">
        <v>0.23</v>
      </c>
      <c r="I10" s="33">
        <v>0.3</v>
      </c>
    </row>
    <row r="11" spans="1:7" ht="12.75">
      <c r="A11">
        <v>8</v>
      </c>
      <c r="B11" t="s">
        <v>15</v>
      </c>
      <c r="C11" s="33">
        <v>0.07</v>
      </c>
      <c r="D11" s="33"/>
      <c r="E11" s="33"/>
      <c r="F11" s="33"/>
      <c r="G11" s="33">
        <f t="shared" si="0"/>
        <v>0.21000000000000002</v>
      </c>
    </row>
    <row r="12" spans="1:7" ht="12.75">
      <c r="A12">
        <v>9</v>
      </c>
      <c r="B12" t="s">
        <v>262</v>
      </c>
      <c r="C12" s="33"/>
      <c r="D12" s="33"/>
      <c r="E12" s="33"/>
      <c r="F12" s="33">
        <v>0.03</v>
      </c>
      <c r="G12" s="33">
        <f t="shared" si="0"/>
        <v>0.06</v>
      </c>
    </row>
    <row r="13" spans="1:7" ht="12.75">
      <c r="A13">
        <v>10</v>
      </c>
      <c r="B13" t="s">
        <v>258</v>
      </c>
      <c r="C13" s="33">
        <v>0.02</v>
      </c>
      <c r="D13" s="33">
        <v>0.01</v>
      </c>
      <c r="E13" s="33">
        <v>0.01</v>
      </c>
      <c r="F13" s="33">
        <v>0.01</v>
      </c>
      <c r="G13" s="33">
        <f t="shared" si="0"/>
        <v>0.13999999999999999</v>
      </c>
    </row>
    <row r="14" spans="1:7" ht="12.75">
      <c r="A14">
        <v>11</v>
      </c>
      <c r="B14" t="s">
        <v>259</v>
      </c>
      <c r="C14" s="33"/>
      <c r="D14" s="33">
        <v>0.01</v>
      </c>
      <c r="E14" s="33">
        <v>0.01</v>
      </c>
      <c r="F14" s="33"/>
      <c r="G14" s="33">
        <f t="shared" si="0"/>
        <v>0.06</v>
      </c>
    </row>
    <row r="15" spans="2:7" ht="12.75">
      <c r="B15" t="s">
        <v>43</v>
      </c>
      <c r="C15" s="33">
        <f>SUM(C4:C14)</f>
        <v>0.21</v>
      </c>
      <c r="D15" s="33">
        <f>SUM(D4:D14)</f>
        <v>0.21000000000000002</v>
      </c>
      <c r="E15" s="33">
        <f>SUM(E4:E14)</f>
        <v>0.21</v>
      </c>
      <c r="F15" s="33">
        <f>SUM(F4:F14)</f>
        <v>0.21000000000000002</v>
      </c>
      <c r="G15" s="33">
        <f>SUM(G4:G14)</f>
        <v>2.3100000000000005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workbookViewId="0" topLeftCell="A1">
      <selection activeCell="A56" sqref="A56"/>
    </sheetView>
  </sheetViews>
  <sheetFormatPr defaultColWidth="9.00390625" defaultRowHeight="12.75"/>
  <cols>
    <col min="1" max="1" width="3.00390625" style="19" customWidth="1"/>
    <col min="2" max="2" width="36.00390625" style="0" customWidth="1"/>
    <col min="3" max="3" width="14.375" style="0" customWidth="1"/>
    <col min="4" max="4" width="20.00390625" style="0" customWidth="1"/>
  </cols>
  <sheetData>
    <row r="1" ht="15.75">
      <c r="B1" s="18" t="s">
        <v>264</v>
      </c>
    </row>
    <row r="2" ht="12.75">
      <c r="A2" s="38" t="s">
        <v>62</v>
      </c>
    </row>
    <row r="3" spans="1:4" s="19" customFormat="1" ht="12.75">
      <c r="A3" s="19" t="s">
        <v>161</v>
      </c>
      <c r="B3" s="19" t="s">
        <v>104</v>
      </c>
      <c r="C3" s="19" t="s">
        <v>201</v>
      </c>
      <c r="D3" s="19" t="s">
        <v>202</v>
      </c>
    </row>
    <row r="4" spans="1:4" ht="12.75">
      <c r="A4" s="19" t="s">
        <v>161</v>
      </c>
      <c r="B4" t="s">
        <v>214</v>
      </c>
      <c r="C4" t="s">
        <v>212</v>
      </c>
      <c r="D4" t="s">
        <v>213</v>
      </c>
    </row>
    <row r="5" spans="1:4" ht="12.75">
      <c r="A5" s="19" t="s">
        <v>161</v>
      </c>
      <c r="B5" t="s">
        <v>65</v>
      </c>
      <c r="C5" t="s">
        <v>211</v>
      </c>
      <c r="D5" t="s">
        <v>64</v>
      </c>
    </row>
    <row r="6" spans="1:4" ht="12.75">
      <c r="A6" s="19" t="s">
        <v>161</v>
      </c>
      <c r="B6" t="s">
        <v>218</v>
      </c>
      <c r="C6" t="s">
        <v>209</v>
      </c>
      <c r="D6" t="s">
        <v>64</v>
      </c>
    </row>
    <row r="7" spans="1:4" ht="12.75">
      <c r="A7" s="19" t="s">
        <v>161</v>
      </c>
      <c r="B7" t="s">
        <v>193</v>
      </c>
      <c r="C7" t="s">
        <v>209</v>
      </c>
      <c r="D7" t="s">
        <v>194</v>
      </c>
    </row>
    <row r="8" spans="1:4" ht="12.75">
      <c r="A8" s="19" t="s">
        <v>161</v>
      </c>
      <c r="B8" t="s">
        <v>217</v>
      </c>
      <c r="C8" t="s">
        <v>162</v>
      </c>
      <c r="D8" t="s">
        <v>194</v>
      </c>
    </row>
    <row r="9" spans="1:4" ht="12.75">
      <c r="A9" s="19" t="s">
        <v>161</v>
      </c>
      <c r="B9" t="s">
        <v>164</v>
      </c>
      <c r="C9" t="s">
        <v>210</v>
      </c>
      <c r="D9" t="s">
        <v>219</v>
      </c>
    </row>
    <row r="10" spans="1:4" ht="12.75">
      <c r="A10" s="19" t="s">
        <v>161</v>
      </c>
      <c r="B10" t="s">
        <v>145</v>
      </c>
      <c r="C10" t="s">
        <v>222</v>
      </c>
      <c r="D10" t="s">
        <v>220</v>
      </c>
    </row>
    <row r="11" spans="1:4" s="19" customFormat="1" ht="12.75">
      <c r="A11" s="19" t="s">
        <v>161</v>
      </c>
      <c r="B11" s="19" t="s">
        <v>73</v>
      </c>
      <c r="C11" s="19" t="s">
        <v>215</v>
      </c>
      <c r="D11" s="19" t="s">
        <v>203</v>
      </c>
    </row>
    <row r="12" spans="1:4" ht="12.75">
      <c r="A12" s="19" t="s">
        <v>161</v>
      </c>
      <c r="B12" t="s">
        <v>66</v>
      </c>
      <c r="C12" t="s">
        <v>216</v>
      </c>
      <c r="D12" t="s">
        <v>87</v>
      </c>
    </row>
    <row r="13" spans="1:4" ht="12.75">
      <c r="A13" s="19" t="s">
        <v>161</v>
      </c>
      <c r="B13" t="s">
        <v>88</v>
      </c>
      <c r="C13" t="s">
        <v>163</v>
      </c>
      <c r="D13" t="s">
        <v>221</v>
      </c>
    </row>
    <row r="14" spans="1:4" ht="12.75">
      <c r="A14" s="19" t="s">
        <v>161</v>
      </c>
      <c r="B14" t="s">
        <v>67</v>
      </c>
      <c r="C14" t="s">
        <v>223</v>
      </c>
      <c r="D14" t="s">
        <v>224</v>
      </c>
    </row>
    <row r="15" ht="13.5" customHeight="1">
      <c r="A15" s="38" t="s">
        <v>68</v>
      </c>
    </row>
    <row r="16" spans="1:4" ht="13.5" customHeight="1">
      <c r="A16" s="19" t="s">
        <v>161</v>
      </c>
      <c r="B16" t="s">
        <v>103</v>
      </c>
      <c r="C16" t="s">
        <v>69</v>
      </c>
      <c r="D16" t="s">
        <v>108</v>
      </c>
    </row>
    <row r="17" spans="1:4" ht="13.5" customHeight="1">
      <c r="A17" s="19" t="s">
        <v>161</v>
      </c>
      <c r="B17" t="s">
        <v>191</v>
      </c>
      <c r="C17" t="s">
        <v>72</v>
      </c>
      <c r="D17" t="s">
        <v>108</v>
      </c>
    </row>
    <row r="18" spans="1:4" ht="13.5" customHeight="1">
      <c r="A18" s="19" t="s">
        <v>161</v>
      </c>
      <c r="B18" t="s">
        <v>143</v>
      </c>
      <c r="C18" t="s">
        <v>166</v>
      </c>
      <c r="D18" t="s">
        <v>165</v>
      </c>
    </row>
    <row r="19" spans="1:4" ht="13.5" customHeight="1">
      <c r="A19" s="19" t="s">
        <v>161</v>
      </c>
      <c r="B19" t="s">
        <v>167</v>
      </c>
      <c r="C19" t="s">
        <v>170</v>
      </c>
      <c r="D19" t="s">
        <v>165</v>
      </c>
    </row>
    <row r="20" spans="1:4" s="19" customFormat="1" ht="12.75">
      <c r="A20" s="19" t="s">
        <v>161</v>
      </c>
      <c r="B20" s="19" t="s">
        <v>146</v>
      </c>
      <c r="C20" s="19" t="s">
        <v>182</v>
      </c>
      <c r="D20" s="19" t="s">
        <v>70</v>
      </c>
    </row>
    <row r="21" spans="1:4" ht="12.75">
      <c r="A21" s="19" t="s">
        <v>161</v>
      </c>
      <c r="B21" t="s">
        <v>239</v>
      </c>
      <c r="C21" t="s">
        <v>235</v>
      </c>
      <c r="D21" t="s">
        <v>71</v>
      </c>
    </row>
    <row r="22" spans="1:4" s="19" customFormat="1" ht="12.75">
      <c r="A22" s="19" t="s">
        <v>161</v>
      </c>
      <c r="B22" s="19" t="s">
        <v>89</v>
      </c>
      <c r="C22" s="19" t="s">
        <v>75</v>
      </c>
      <c r="D22" s="19" t="s">
        <v>90</v>
      </c>
    </row>
    <row r="23" spans="1:4" s="19" customFormat="1" ht="12.75">
      <c r="A23" s="19" t="s">
        <v>161</v>
      </c>
      <c r="B23" s="19" t="s">
        <v>130</v>
      </c>
      <c r="C23" s="19" t="s">
        <v>128</v>
      </c>
      <c r="D23" s="19" t="s">
        <v>267</v>
      </c>
    </row>
    <row r="24" spans="1:4" ht="13.5" customHeight="1">
      <c r="A24" s="19" t="s">
        <v>161</v>
      </c>
      <c r="B24" t="s">
        <v>73</v>
      </c>
      <c r="C24" t="s">
        <v>72</v>
      </c>
      <c r="D24" t="s">
        <v>74</v>
      </c>
    </row>
    <row r="25" spans="1:4" s="19" customFormat="1" ht="12.75">
      <c r="A25" s="19" t="s">
        <v>161</v>
      </c>
      <c r="B25" s="19" t="s">
        <v>236</v>
      </c>
      <c r="C25" s="19" t="s">
        <v>79</v>
      </c>
      <c r="D25" s="19" t="s">
        <v>237</v>
      </c>
    </row>
    <row r="26" spans="1:4" s="19" customFormat="1" ht="12.75">
      <c r="A26" s="19" t="s">
        <v>161</v>
      </c>
      <c r="B26" s="19" t="s">
        <v>145</v>
      </c>
      <c r="C26" s="19" t="s">
        <v>169</v>
      </c>
      <c r="D26" s="19" t="s">
        <v>76</v>
      </c>
    </row>
    <row r="27" spans="1:4" ht="12.75">
      <c r="A27" s="19" t="s">
        <v>161</v>
      </c>
      <c r="B27" t="s">
        <v>104</v>
      </c>
      <c r="C27" s="19" t="s">
        <v>72</v>
      </c>
      <c r="D27" t="s">
        <v>63</v>
      </c>
    </row>
    <row r="28" spans="1:4" s="19" customFormat="1" ht="12.75">
      <c r="A28" s="19" t="s">
        <v>161</v>
      </c>
      <c r="B28" s="19" t="s">
        <v>204</v>
      </c>
      <c r="C28" s="19" t="s">
        <v>79</v>
      </c>
      <c r="D28" s="19" t="s">
        <v>63</v>
      </c>
    </row>
    <row r="29" spans="1:4" s="19" customFormat="1" ht="12.75">
      <c r="A29" s="19" t="s">
        <v>161</v>
      </c>
      <c r="B29" s="19" t="s">
        <v>131</v>
      </c>
      <c r="C29" s="19" t="s">
        <v>79</v>
      </c>
      <c r="D29" s="19" t="s">
        <v>78</v>
      </c>
    </row>
    <row r="30" spans="1:4" s="19" customFormat="1" ht="12.75">
      <c r="A30" s="19" t="s">
        <v>161</v>
      </c>
      <c r="B30" s="19" t="s">
        <v>132</v>
      </c>
      <c r="C30" s="19" t="s">
        <v>265</v>
      </c>
      <c r="D30" s="19" t="s">
        <v>238</v>
      </c>
    </row>
    <row r="31" spans="1:4" s="19" customFormat="1" ht="12.75">
      <c r="A31" s="19" t="s">
        <v>161</v>
      </c>
      <c r="B31" s="19" t="s">
        <v>188</v>
      </c>
      <c r="C31" s="19" t="s">
        <v>189</v>
      </c>
      <c r="D31" s="19" t="s">
        <v>190</v>
      </c>
    </row>
    <row r="32" spans="1:4" s="19" customFormat="1" ht="12.75">
      <c r="A32" s="19" t="s">
        <v>161</v>
      </c>
      <c r="B32" s="19" t="s">
        <v>105</v>
      </c>
      <c r="C32" s="19" t="s">
        <v>75</v>
      </c>
      <c r="D32" s="19" t="s">
        <v>106</v>
      </c>
    </row>
    <row r="33" spans="1:4" s="19" customFormat="1" ht="12.75">
      <c r="A33" s="19" t="s">
        <v>161</v>
      </c>
      <c r="B33" s="19" t="s">
        <v>205</v>
      </c>
      <c r="C33" s="19" t="s">
        <v>75</v>
      </c>
      <c r="D33" s="19" t="s">
        <v>269</v>
      </c>
    </row>
    <row r="34" spans="1:4" s="19" customFormat="1" ht="12.75">
      <c r="A34" s="19" t="s">
        <v>161</v>
      </c>
      <c r="B34" s="19" t="s">
        <v>133</v>
      </c>
      <c r="C34" s="19" t="s">
        <v>69</v>
      </c>
      <c r="D34" s="19" t="s">
        <v>268</v>
      </c>
    </row>
    <row r="35" spans="1:4" s="19" customFormat="1" ht="12.75">
      <c r="A35" s="19" t="s">
        <v>161</v>
      </c>
      <c r="B35" s="19" t="s">
        <v>144</v>
      </c>
      <c r="C35" s="19" t="s">
        <v>197</v>
      </c>
      <c r="D35" s="19" t="s">
        <v>266</v>
      </c>
    </row>
    <row r="36" spans="1:4" s="19" customFormat="1" ht="12.75">
      <c r="A36" s="19" t="s">
        <v>161</v>
      </c>
      <c r="B36" s="19" t="s">
        <v>198</v>
      </c>
      <c r="C36" s="19" t="s">
        <v>79</v>
      </c>
      <c r="D36" s="19" t="s">
        <v>102</v>
      </c>
    </row>
    <row r="37" spans="1:4" s="19" customFormat="1" ht="12.75">
      <c r="A37" s="19" t="s">
        <v>161</v>
      </c>
      <c r="B37" s="19" t="s">
        <v>186</v>
      </c>
      <c r="C37" s="19" t="s">
        <v>182</v>
      </c>
      <c r="D37" s="19" t="s">
        <v>127</v>
      </c>
    </row>
    <row r="38" spans="1:4" ht="12" customHeight="1">
      <c r="A38" s="19" t="s">
        <v>161</v>
      </c>
      <c r="B38" t="s">
        <v>67</v>
      </c>
      <c r="C38" s="19" t="s">
        <v>168</v>
      </c>
      <c r="D38" t="s">
        <v>77</v>
      </c>
    </row>
    <row r="39" spans="1:4" ht="12" customHeight="1">
      <c r="A39" s="19" t="s">
        <v>161</v>
      </c>
      <c r="B39" t="s">
        <v>179</v>
      </c>
      <c r="C39" s="19" t="s">
        <v>180</v>
      </c>
      <c r="D39" t="s">
        <v>181</v>
      </c>
    </row>
    <row r="40" spans="1:4" ht="12" customHeight="1">
      <c r="A40" s="19" t="s">
        <v>161</v>
      </c>
      <c r="B40" t="s">
        <v>260</v>
      </c>
      <c r="C40" s="19" t="s">
        <v>270</v>
      </c>
      <c r="D40" t="s">
        <v>271</v>
      </c>
    </row>
    <row r="41" s="38" customFormat="1" ht="12.75">
      <c r="A41" s="38" t="s">
        <v>80</v>
      </c>
    </row>
    <row r="42" spans="1:4" ht="12.75">
      <c r="A42" s="19" t="s">
        <v>161</v>
      </c>
      <c r="B42" t="s">
        <v>172</v>
      </c>
      <c r="C42" t="s">
        <v>173</v>
      </c>
      <c r="D42" t="s">
        <v>174</v>
      </c>
    </row>
    <row r="43" spans="1:4" s="19" customFormat="1" ht="12.75">
      <c r="A43" s="19" t="s">
        <v>161</v>
      </c>
      <c r="B43" s="19" t="s">
        <v>206</v>
      </c>
      <c r="C43" s="19" t="s">
        <v>173</v>
      </c>
      <c r="D43" s="19" t="s">
        <v>207</v>
      </c>
    </row>
    <row r="44" spans="1:4" s="19" customFormat="1" ht="12.75">
      <c r="A44" s="19" t="s">
        <v>161</v>
      </c>
      <c r="B44" s="19" t="s">
        <v>134</v>
      </c>
      <c r="C44" s="19" t="s">
        <v>171</v>
      </c>
      <c r="D44" s="19" t="s">
        <v>81</v>
      </c>
    </row>
    <row r="45" spans="1:4" s="19" customFormat="1" ht="12.75">
      <c r="A45" s="19" t="s">
        <v>161</v>
      </c>
      <c r="B45" s="19" t="s">
        <v>208</v>
      </c>
      <c r="C45" s="19" t="s">
        <v>175</v>
      </c>
      <c r="D45" s="19" t="s">
        <v>81</v>
      </c>
    </row>
    <row r="46" spans="1:4" s="19" customFormat="1" ht="12.75">
      <c r="A46" s="19" t="s">
        <v>161</v>
      </c>
      <c r="B46" s="19" t="s">
        <v>91</v>
      </c>
      <c r="C46" s="19" t="s">
        <v>175</v>
      </c>
      <c r="D46" s="19" t="s">
        <v>81</v>
      </c>
    </row>
    <row r="47" spans="1:4" s="19" customFormat="1" ht="12.75">
      <c r="A47" s="19" t="s">
        <v>161</v>
      </c>
      <c r="B47" s="19" t="s">
        <v>229</v>
      </c>
      <c r="C47" s="19" t="s">
        <v>243</v>
      </c>
      <c r="D47" s="19" t="s">
        <v>92</v>
      </c>
    </row>
    <row r="48" spans="1:4" s="19" customFormat="1" ht="12.75">
      <c r="A48" s="19" t="s">
        <v>161</v>
      </c>
      <c r="B48" s="19" t="s">
        <v>240</v>
      </c>
      <c r="C48" s="19" t="s">
        <v>241</v>
      </c>
      <c r="D48" s="19" t="s">
        <v>242</v>
      </c>
    </row>
    <row r="49" spans="1:4" s="19" customFormat="1" ht="12.75">
      <c r="A49" s="19" t="s">
        <v>161</v>
      </c>
      <c r="B49" s="19" t="s">
        <v>176</v>
      </c>
      <c r="C49" s="19" t="s">
        <v>177</v>
      </c>
      <c r="D49" s="19" t="s">
        <v>178</v>
      </c>
    </row>
    <row r="50" spans="1:4" s="19" customFormat="1" ht="12.75">
      <c r="A50" s="19" t="s">
        <v>161</v>
      </c>
      <c r="B50" s="19" t="s">
        <v>234</v>
      </c>
      <c r="C50" s="19" t="s">
        <v>232</v>
      </c>
      <c r="D50" s="19" t="s">
        <v>233</v>
      </c>
    </row>
    <row r="51" spans="1:4" s="19" customFormat="1" ht="12" customHeight="1">
      <c r="A51" s="19" t="s">
        <v>161</v>
      </c>
      <c r="B51" s="19" t="s">
        <v>93</v>
      </c>
      <c r="C51" s="19" t="s">
        <v>195</v>
      </c>
      <c r="D51" s="19" t="s">
        <v>83</v>
      </c>
    </row>
    <row r="52" spans="1:4" ht="12.75">
      <c r="A52" s="19" t="s">
        <v>161</v>
      </c>
      <c r="B52" t="s">
        <v>94</v>
      </c>
      <c r="C52" t="s">
        <v>196</v>
      </c>
      <c r="D52" t="s">
        <v>83</v>
      </c>
    </row>
    <row r="53" spans="1:4" ht="12.75">
      <c r="A53" s="19" t="s">
        <v>161</v>
      </c>
      <c r="B53" t="s">
        <v>82</v>
      </c>
      <c r="C53" t="s">
        <v>230</v>
      </c>
      <c r="D53" t="s">
        <v>83</v>
      </c>
    </row>
    <row r="54" spans="1:3" ht="12.75">
      <c r="A54" s="19" t="s">
        <v>161</v>
      </c>
      <c r="B54" s="19" t="s">
        <v>85</v>
      </c>
      <c r="C54" s="19" t="s">
        <v>86</v>
      </c>
    </row>
    <row r="55" spans="1:3" s="19" customFormat="1" ht="12.75">
      <c r="A55" s="17" t="s">
        <v>161</v>
      </c>
      <c r="B55" s="19" t="s">
        <v>228</v>
      </c>
      <c r="C55" s="19" t="s">
        <v>226</v>
      </c>
    </row>
    <row r="56" spans="1:3" ht="12.75">
      <c r="A56" s="19" t="s">
        <v>161</v>
      </c>
      <c r="B56" t="s">
        <v>95</v>
      </c>
      <c r="C56" s="19" t="s">
        <v>231</v>
      </c>
    </row>
    <row r="57" spans="1:3" s="19" customFormat="1" ht="12.75">
      <c r="A57" s="19" t="s">
        <v>161</v>
      </c>
      <c r="B57" s="19" t="s">
        <v>84</v>
      </c>
      <c r="C57" s="19" t="s">
        <v>124</v>
      </c>
    </row>
    <row r="58" spans="1:6" ht="12.75">
      <c r="A58" s="19" t="s">
        <v>161</v>
      </c>
      <c r="B58" s="19" t="s">
        <v>187</v>
      </c>
      <c r="C58" s="19" t="s">
        <v>126</v>
      </c>
      <c r="D58" s="19"/>
      <c r="E58" s="19"/>
      <c r="F58" s="19"/>
    </row>
    <row r="59" spans="1:6" ht="12.75">
      <c r="A59" s="19" t="s">
        <v>161</v>
      </c>
      <c r="B59" s="19" t="s">
        <v>184</v>
      </c>
      <c r="C59" s="19" t="s">
        <v>185</v>
      </c>
      <c r="D59" s="19"/>
      <c r="E59" s="19"/>
      <c r="F59" s="19"/>
    </row>
    <row r="60" spans="1:3" s="19" customFormat="1" ht="12.75">
      <c r="A60" s="19" t="s">
        <v>161</v>
      </c>
      <c r="B60" s="19" t="s">
        <v>199</v>
      </c>
      <c r="C60" s="19" t="s">
        <v>200</v>
      </c>
    </row>
    <row r="61" spans="1:3" ht="12.75">
      <c r="A61" s="19" t="s">
        <v>161</v>
      </c>
      <c r="B61" t="s">
        <v>192</v>
      </c>
      <c r="C61" t="s">
        <v>123</v>
      </c>
    </row>
    <row r="62" spans="1:3" ht="12.75">
      <c r="A62" s="19" t="s">
        <v>161</v>
      </c>
      <c r="B62" t="s">
        <v>107</v>
      </c>
      <c r="C62" t="s">
        <v>227</v>
      </c>
    </row>
    <row r="63" spans="1:3" ht="12.75">
      <c r="A63" s="19" t="s">
        <v>161</v>
      </c>
      <c r="B63" t="s">
        <v>225</v>
      </c>
      <c r="C63" t="s">
        <v>226</v>
      </c>
    </row>
    <row r="64" spans="1:3" s="19" customFormat="1" ht="12.75">
      <c r="A64" s="17" t="s">
        <v>161</v>
      </c>
      <c r="B64" s="19" t="s">
        <v>183</v>
      </c>
      <c r="C64" s="19" t="s">
        <v>272</v>
      </c>
    </row>
    <row r="65" spans="1:3" ht="12.75">
      <c r="A65" s="19" t="s">
        <v>161</v>
      </c>
      <c r="B65" t="s">
        <v>125</v>
      </c>
      <c r="C65" s="19" t="s">
        <v>126</v>
      </c>
    </row>
  </sheetData>
  <printOptions/>
  <pageMargins left="0.75" right="0.75" top="1" bottom="1" header="0.5" footer="0.5"/>
  <pageSetup fitToHeight="1" fitToWidth="1" horizontalDpi="300" verticalDpi="3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workbookViewId="0" topLeftCell="B13">
      <selection activeCell="L41" sqref="L41"/>
    </sheetView>
  </sheetViews>
  <sheetFormatPr defaultColWidth="9.00390625" defaultRowHeight="12.75"/>
  <cols>
    <col min="1" max="1" width="31.00390625" style="0" customWidth="1"/>
    <col min="6" max="6" width="12.875" style="0" customWidth="1"/>
    <col min="13" max="13" width="12.25390625" style="0" customWidth="1"/>
  </cols>
  <sheetData>
    <row r="1" spans="2:13" ht="12.75">
      <c r="B1" s="60" t="s">
        <v>273</v>
      </c>
      <c r="C1" s="60" t="s">
        <v>274</v>
      </c>
      <c r="D1" s="60" t="s">
        <v>275</v>
      </c>
      <c r="F1" t="s">
        <v>276</v>
      </c>
      <c r="I1" s="60" t="s">
        <v>273</v>
      </c>
      <c r="J1" s="60" t="s">
        <v>274</v>
      </c>
      <c r="K1" s="60" t="s">
        <v>275</v>
      </c>
      <c r="M1" t="s">
        <v>276</v>
      </c>
    </row>
    <row r="2" spans="1:8" ht="12.75">
      <c r="A2" s="2" t="s">
        <v>151</v>
      </c>
      <c r="H2" s="2" t="s">
        <v>153</v>
      </c>
    </row>
    <row r="3" spans="1:13" ht="12.75">
      <c r="A3" s="61" t="s">
        <v>11</v>
      </c>
      <c r="B3" s="33">
        <v>1.5</v>
      </c>
      <c r="C3" s="33">
        <v>4.8</v>
      </c>
      <c r="D3" s="33">
        <v>5.6</v>
      </c>
      <c r="E3" s="62">
        <f>SUM(B3:D3)</f>
        <v>11.899999999999999</v>
      </c>
      <c r="F3" s="49" t="s">
        <v>151</v>
      </c>
      <c r="H3" s="61" t="s">
        <v>53</v>
      </c>
      <c r="I3" s="33">
        <v>0.6</v>
      </c>
      <c r="J3" s="33">
        <v>2.7</v>
      </c>
      <c r="K3" s="33">
        <v>2.7</v>
      </c>
      <c r="L3" s="62">
        <f aca="true" t="shared" si="0" ref="L3:L11">SUM(I3:K3)</f>
        <v>6</v>
      </c>
      <c r="M3" s="49" t="s">
        <v>153</v>
      </c>
    </row>
    <row r="4" spans="1:13" ht="12.75">
      <c r="A4" s="61" t="s">
        <v>26</v>
      </c>
      <c r="B4" s="33">
        <v>0.07</v>
      </c>
      <c r="C4" s="33">
        <v>0.42</v>
      </c>
      <c r="D4" s="33">
        <v>0.42</v>
      </c>
      <c r="E4" s="62">
        <f aca="true" t="shared" si="1" ref="E4:E9">SUM(B4:D4)</f>
        <v>0.9099999999999999</v>
      </c>
      <c r="F4" s="49" t="s">
        <v>151</v>
      </c>
      <c r="H4" s="61" t="s">
        <v>129</v>
      </c>
      <c r="I4" s="33">
        <v>0.6</v>
      </c>
      <c r="J4" s="33">
        <v>1.1</v>
      </c>
      <c r="K4" s="33">
        <v>1.1</v>
      </c>
      <c r="L4" s="62">
        <f t="shared" si="0"/>
        <v>2.8000000000000003</v>
      </c>
      <c r="M4" s="49" t="s">
        <v>153</v>
      </c>
    </row>
    <row r="5" spans="1:13" ht="12.75">
      <c r="A5" s="61" t="s">
        <v>28</v>
      </c>
      <c r="B5" s="33">
        <v>0</v>
      </c>
      <c r="C5" s="33">
        <v>1.2</v>
      </c>
      <c r="D5" s="33">
        <v>1.2</v>
      </c>
      <c r="E5" s="62">
        <f t="shared" si="1"/>
        <v>2.4</v>
      </c>
      <c r="F5" s="49" t="s">
        <v>151</v>
      </c>
      <c r="H5" s="61" t="s">
        <v>19</v>
      </c>
      <c r="I5" s="33">
        <v>0.4</v>
      </c>
      <c r="J5" s="33">
        <v>0.8</v>
      </c>
      <c r="K5" s="33">
        <v>0.8</v>
      </c>
      <c r="L5" s="62">
        <f t="shared" si="0"/>
        <v>2</v>
      </c>
      <c r="M5" s="49" t="s">
        <v>153</v>
      </c>
    </row>
    <row r="6" spans="1:13" ht="12.75">
      <c r="A6" s="61" t="s">
        <v>29</v>
      </c>
      <c r="B6" s="33">
        <v>0</v>
      </c>
      <c r="C6" s="33">
        <v>0.8</v>
      </c>
      <c r="D6" s="33">
        <v>0.8</v>
      </c>
      <c r="E6" s="62">
        <f t="shared" si="1"/>
        <v>1.6</v>
      </c>
      <c r="F6" s="49" t="s">
        <v>151</v>
      </c>
      <c r="H6" s="61" t="s">
        <v>150</v>
      </c>
      <c r="I6" s="33"/>
      <c r="J6" s="33">
        <v>0.45</v>
      </c>
      <c r="K6" s="33">
        <v>0.45</v>
      </c>
      <c r="L6" s="62">
        <f t="shared" si="0"/>
        <v>0.9</v>
      </c>
      <c r="M6" s="49" t="s">
        <v>153</v>
      </c>
    </row>
    <row r="7" spans="1:13" ht="12.75">
      <c r="A7" s="61" t="s">
        <v>116</v>
      </c>
      <c r="B7" s="33">
        <v>0.7</v>
      </c>
      <c r="C7" s="33">
        <v>1.7</v>
      </c>
      <c r="D7" s="33">
        <v>1.7</v>
      </c>
      <c r="E7" s="62">
        <f t="shared" si="1"/>
        <v>4.1</v>
      </c>
      <c r="F7" s="49" t="s">
        <v>151</v>
      </c>
      <c r="H7" s="61" t="s">
        <v>47</v>
      </c>
      <c r="I7" s="33">
        <v>0.5</v>
      </c>
      <c r="J7" s="33">
        <v>1</v>
      </c>
      <c r="K7" s="33">
        <v>1</v>
      </c>
      <c r="L7" s="62">
        <f t="shared" si="0"/>
        <v>2.5</v>
      </c>
      <c r="M7" s="49" t="s">
        <v>153</v>
      </c>
    </row>
    <row r="8" spans="1:13" ht="12.75">
      <c r="A8" s="61" t="s">
        <v>39</v>
      </c>
      <c r="B8" s="62"/>
      <c r="C8" s="62"/>
      <c r="D8" s="62">
        <v>2</v>
      </c>
      <c r="E8" s="62">
        <f t="shared" si="1"/>
        <v>2</v>
      </c>
      <c r="F8" s="49" t="s">
        <v>151</v>
      </c>
      <c r="H8" s="61" t="s">
        <v>30</v>
      </c>
      <c r="I8" s="33">
        <v>0</v>
      </c>
      <c r="J8" s="33">
        <v>0.9</v>
      </c>
      <c r="K8" s="33">
        <v>0.9</v>
      </c>
      <c r="L8" s="62">
        <f t="shared" si="0"/>
        <v>1.8</v>
      </c>
      <c r="M8" s="49" t="s">
        <v>153</v>
      </c>
    </row>
    <row r="9" spans="1:13" ht="12.75">
      <c r="A9" s="61" t="s">
        <v>27</v>
      </c>
      <c r="B9" s="62"/>
      <c r="C9" s="62"/>
      <c r="D9" s="62">
        <v>2</v>
      </c>
      <c r="E9" s="62">
        <f t="shared" si="1"/>
        <v>2</v>
      </c>
      <c r="F9" s="49" t="s">
        <v>151</v>
      </c>
      <c r="H9" s="61" t="s">
        <v>39</v>
      </c>
      <c r="I9" s="62"/>
      <c r="J9" s="62"/>
      <c r="K9" s="62">
        <v>2</v>
      </c>
      <c r="L9" s="62">
        <f t="shared" si="0"/>
        <v>2</v>
      </c>
      <c r="M9" s="49" t="s">
        <v>153</v>
      </c>
    </row>
    <row r="10" spans="1:13" ht="12.75">
      <c r="A10" s="2" t="s">
        <v>279</v>
      </c>
      <c r="B10" s="33">
        <f>SUM(B3:B9)</f>
        <v>2.27</v>
      </c>
      <c r="C10" s="33">
        <f>SUM(C3:C9)</f>
        <v>8.92</v>
      </c>
      <c r="D10" s="33">
        <f>SUM(D3:D9)</f>
        <v>13.719999999999999</v>
      </c>
      <c r="E10" s="33">
        <f>SUM(E3:E9)</f>
        <v>24.909999999999997</v>
      </c>
      <c r="F10" s="70"/>
      <c r="H10" s="61" t="s">
        <v>27</v>
      </c>
      <c r="I10" s="62"/>
      <c r="J10" s="62"/>
      <c r="K10" s="62">
        <v>2</v>
      </c>
      <c r="L10" s="62">
        <f t="shared" si="0"/>
        <v>2</v>
      </c>
      <c r="M10" s="49" t="s">
        <v>153</v>
      </c>
    </row>
    <row r="11" spans="1:13" ht="12.75">
      <c r="A11" s="2"/>
      <c r="B11" s="33"/>
      <c r="C11" s="33"/>
      <c r="D11" s="33"/>
      <c r="E11" s="33"/>
      <c r="H11" s="61" t="s">
        <v>277</v>
      </c>
      <c r="I11" s="62"/>
      <c r="J11" s="62">
        <f>1.2</f>
        <v>1.2</v>
      </c>
      <c r="K11" s="62">
        <v>1.2</v>
      </c>
      <c r="L11" s="62">
        <f t="shared" si="0"/>
        <v>2.4</v>
      </c>
      <c r="M11" s="49" t="s">
        <v>278</v>
      </c>
    </row>
    <row r="12" spans="1:12" ht="12.75">
      <c r="A12" s="2"/>
      <c r="B12" s="33"/>
      <c r="C12" s="33"/>
      <c r="D12" s="33"/>
      <c r="E12" s="33"/>
      <c r="H12" s="2" t="s">
        <v>279</v>
      </c>
      <c r="I12" s="33">
        <f>SUM(I3:I11)</f>
        <v>2.1</v>
      </c>
      <c r="J12" s="33">
        <f>SUM(J3:J11)</f>
        <v>8.15</v>
      </c>
      <c r="K12" s="33">
        <f>SUM(K3:K11)</f>
        <v>12.15</v>
      </c>
      <c r="L12" s="33">
        <f>SUM(L3:L11)</f>
        <v>22.4</v>
      </c>
    </row>
    <row r="13" ht="12.75">
      <c r="A13" s="2" t="s">
        <v>154</v>
      </c>
    </row>
    <row r="14" spans="1:8" ht="12.75">
      <c r="A14" s="61" t="s">
        <v>13</v>
      </c>
      <c r="B14" s="33">
        <v>0.6</v>
      </c>
      <c r="C14" s="33">
        <v>1.2</v>
      </c>
      <c r="D14" s="33">
        <v>1.2</v>
      </c>
      <c r="E14" s="62">
        <f aca="true" t="shared" si="2" ref="E14:E25">SUM(B14:D14)</f>
        <v>3</v>
      </c>
      <c r="F14" s="49" t="s">
        <v>154</v>
      </c>
      <c r="H14" s="2" t="s">
        <v>156</v>
      </c>
    </row>
    <row r="15" spans="1:13" ht="12.75">
      <c r="A15" s="61" t="s">
        <v>14</v>
      </c>
      <c r="B15" s="33">
        <v>0.5</v>
      </c>
      <c r="C15" s="33">
        <v>1.8</v>
      </c>
      <c r="D15" s="33">
        <v>1.8</v>
      </c>
      <c r="E15" s="62">
        <f t="shared" si="2"/>
        <v>4.1</v>
      </c>
      <c r="F15" s="49" t="s">
        <v>154</v>
      </c>
      <c r="H15" s="61" t="s">
        <v>17</v>
      </c>
      <c r="I15" s="33">
        <v>1.2</v>
      </c>
      <c r="J15" s="33">
        <v>1.7</v>
      </c>
      <c r="K15" s="33">
        <v>1.7</v>
      </c>
      <c r="L15" s="62">
        <f aca="true" t="shared" si="3" ref="L15:L22">SUM(I15:K15)</f>
        <v>4.6</v>
      </c>
      <c r="M15" s="49" t="s">
        <v>156</v>
      </c>
    </row>
    <row r="16" spans="1:13" ht="12.75">
      <c r="A16" s="61" t="s">
        <v>114</v>
      </c>
      <c r="B16" s="33">
        <v>0.42</v>
      </c>
      <c r="C16" s="33">
        <v>1.05</v>
      </c>
      <c r="D16" s="33">
        <v>0.84</v>
      </c>
      <c r="E16" s="62">
        <f t="shared" si="2"/>
        <v>2.31</v>
      </c>
      <c r="F16" s="49" t="s">
        <v>154</v>
      </c>
      <c r="H16" s="61" t="s">
        <v>18</v>
      </c>
      <c r="I16" s="33">
        <v>0.4</v>
      </c>
      <c r="J16" s="33">
        <v>0.8</v>
      </c>
      <c r="K16" s="33">
        <v>0.8</v>
      </c>
      <c r="L16" s="62">
        <f t="shared" si="3"/>
        <v>2</v>
      </c>
      <c r="M16" s="49" t="s">
        <v>156</v>
      </c>
    </row>
    <row r="17" spans="1:13" ht="12.75">
      <c r="A17" s="61" t="s">
        <v>54</v>
      </c>
      <c r="B17" s="33">
        <v>0.4</v>
      </c>
      <c r="C17" s="33">
        <v>0.8</v>
      </c>
      <c r="D17" s="33">
        <v>0.8</v>
      </c>
      <c r="E17" s="62">
        <f t="shared" si="2"/>
        <v>2</v>
      </c>
      <c r="F17" s="49" t="s">
        <v>154</v>
      </c>
      <c r="H17" s="61" t="s">
        <v>51</v>
      </c>
      <c r="I17" s="33">
        <v>0.3</v>
      </c>
      <c r="J17" s="33">
        <v>0.8</v>
      </c>
      <c r="K17" s="33">
        <v>0.8</v>
      </c>
      <c r="L17" s="62">
        <f t="shared" si="3"/>
        <v>1.9000000000000001</v>
      </c>
      <c r="M17" s="49" t="s">
        <v>156</v>
      </c>
    </row>
    <row r="18" spans="1:13" ht="12.75">
      <c r="A18" s="61" t="s">
        <v>25</v>
      </c>
      <c r="B18" s="33">
        <v>0.2</v>
      </c>
      <c r="C18" s="33">
        <v>0.5</v>
      </c>
      <c r="D18" s="33">
        <v>0.5</v>
      </c>
      <c r="E18" s="62">
        <f t="shared" si="2"/>
        <v>1.2</v>
      </c>
      <c r="F18" s="49" t="s">
        <v>154</v>
      </c>
      <c r="H18" s="61" t="s">
        <v>24</v>
      </c>
      <c r="I18" s="33">
        <v>0.075</v>
      </c>
      <c r="J18" s="33">
        <v>0.2</v>
      </c>
      <c r="K18" s="33">
        <v>0.2</v>
      </c>
      <c r="L18" s="62">
        <f t="shared" si="3"/>
        <v>0.47500000000000003</v>
      </c>
      <c r="M18" s="49" t="s">
        <v>156</v>
      </c>
    </row>
    <row r="19" spans="1:13" ht="12.75">
      <c r="A19" s="61" t="s">
        <v>160</v>
      </c>
      <c r="B19" s="33">
        <v>0.05</v>
      </c>
      <c r="C19" s="33">
        <v>0.25</v>
      </c>
      <c r="D19" s="33">
        <v>0.25</v>
      </c>
      <c r="E19" s="62">
        <f t="shared" si="2"/>
        <v>0.55</v>
      </c>
      <c r="F19" s="49" t="s">
        <v>154</v>
      </c>
      <c r="H19" s="61" t="s">
        <v>137</v>
      </c>
      <c r="I19" s="33">
        <v>0</v>
      </c>
      <c r="J19" s="33">
        <v>0.75</v>
      </c>
      <c r="K19" s="33">
        <v>0.75</v>
      </c>
      <c r="L19" s="62">
        <f t="shared" si="3"/>
        <v>1.5</v>
      </c>
      <c r="M19" s="49" t="s">
        <v>156</v>
      </c>
    </row>
    <row r="20" spans="1:13" ht="12.75">
      <c r="A20" s="61" t="s">
        <v>44</v>
      </c>
      <c r="B20" s="33">
        <v>0.2</v>
      </c>
      <c r="C20" s="33">
        <v>0.4</v>
      </c>
      <c r="D20" s="33">
        <v>0.5</v>
      </c>
      <c r="E20" s="62">
        <f t="shared" si="2"/>
        <v>1.1</v>
      </c>
      <c r="F20" s="49" t="s">
        <v>154</v>
      </c>
      <c r="H20" s="61" t="s">
        <v>39</v>
      </c>
      <c r="I20" s="62">
        <v>1</v>
      </c>
      <c r="J20" s="62"/>
      <c r="K20" s="62">
        <v>1</v>
      </c>
      <c r="L20" s="62">
        <f t="shared" si="3"/>
        <v>2</v>
      </c>
      <c r="M20" s="49" t="s">
        <v>156</v>
      </c>
    </row>
    <row r="21" spans="1:13" ht="12.75">
      <c r="A21" s="61" t="s">
        <v>35</v>
      </c>
      <c r="B21" s="33">
        <v>0.05</v>
      </c>
      <c r="C21" s="33">
        <v>0.2</v>
      </c>
      <c r="D21" s="33">
        <v>0.2</v>
      </c>
      <c r="E21" s="62">
        <f t="shared" si="2"/>
        <v>0.45</v>
      </c>
      <c r="F21" s="49" t="s">
        <v>154</v>
      </c>
      <c r="H21" s="65" t="s">
        <v>27</v>
      </c>
      <c r="I21" s="66"/>
      <c r="J21" s="66">
        <v>1</v>
      </c>
      <c r="K21" s="66">
        <v>1</v>
      </c>
      <c r="L21" s="62">
        <f t="shared" si="3"/>
        <v>2</v>
      </c>
      <c r="M21" s="67" t="s">
        <v>156</v>
      </c>
    </row>
    <row r="22" spans="1:13" ht="12.75">
      <c r="A22" s="61" t="s">
        <v>115</v>
      </c>
      <c r="B22" s="33">
        <v>0.3</v>
      </c>
      <c r="C22" s="33">
        <v>0.7</v>
      </c>
      <c r="D22" s="33">
        <v>0.7</v>
      </c>
      <c r="E22" s="62">
        <f t="shared" si="2"/>
        <v>1.7</v>
      </c>
      <c r="F22" s="49" t="s">
        <v>154</v>
      </c>
      <c r="H22" s="61" t="s">
        <v>277</v>
      </c>
      <c r="I22" s="62"/>
      <c r="J22" s="62">
        <f>3*1.2</f>
        <v>3.5999999999999996</v>
      </c>
      <c r="K22" s="62">
        <f>4*1.2</f>
        <v>4.8</v>
      </c>
      <c r="L22" s="62">
        <f t="shared" si="3"/>
        <v>8.399999999999999</v>
      </c>
      <c r="M22" s="49" t="s">
        <v>278</v>
      </c>
    </row>
    <row r="23" spans="1:13" ht="12.75">
      <c r="A23" s="61" t="s">
        <v>39</v>
      </c>
      <c r="B23" s="62"/>
      <c r="C23" s="62">
        <v>1</v>
      </c>
      <c r="D23" s="62">
        <v>1</v>
      </c>
      <c r="E23" s="62">
        <f t="shared" si="2"/>
        <v>2</v>
      </c>
      <c r="F23" s="49" t="s">
        <v>154</v>
      </c>
      <c r="H23" s="2" t="s">
        <v>279</v>
      </c>
      <c r="I23" s="33">
        <f>SUM(I15:I22)</f>
        <v>2.975</v>
      </c>
      <c r="J23" s="33">
        <f>SUM(J15:J22)</f>
        <v>8.85</v>
      </c>
      <c r="K23" s="33">
        <f>SUM(K15:K22)</f>
        <v>11.05</v>
      </c>
      <c r="L23" s="33">
        <f>SUM(L15:L22)</f>
        <v>22.875</v>
      </c>
      <c r="M23" s="20"/>
    </row>
    <row r="24" spans="1:13" ht="12.75">
      <c r="A24" s="61" t="s">
        <v>27</v>
      </c>
      <c r="B24" s="62"/>
      <c r="C24" s="62">
        <v>1</v>
      </c>
      <c r="D24" s="62">
        <v>1</v>
      </c>
      <c r="E24" s="62">
        <f t="shared" si="2"/>
        <v>2</v>
      </c>
      <c r="F24" s="49" t="s">
        <v>154</v>
      </c>
      <c r="H24" s="68"/>
      <c r="I24" s="69"/>
      <c r="J24" s="69"/>
      <c r="K24" s="69"/>
      <c r="L24" s="69"/>
      <c r="M24" s="20"/>
    </row>
    <row r="25" spans="1:13" ht="12.75">
      <c r="A25" s="61" t="s">
        <v>277</v>
      </c>
      <c r="B25" s="62"/>
      <c r="C25" s="62"/>
      <c r="D25" s="62">
        <f>2*1.2</f>
        <v>2.4</v>
      </c>
      <c r="E25" s="62">
        <f t="shared" si="2"/>
        <v>2.4</v>
      </c>
      <c r="F25" s="49" t="s">
        <v>278</v>
      </c>
      <c r="H25" s="68"/>
      <c r="I25" s="69"/>
      <c r="J25" s="69"/>
      <c r="K25" s="69"/>
      <c r="L25" s="69"/>
      <c r="M25" s="20"/>
    </row>
    <row r="26" spans="1:13" ht="12.75">
      <c r="A26" s="2" t="s">
        <v>279</v>
      </c>
      <c r="B26" s="33">
        <f>SUM(B14:B25)</f>
        <v>2.7199999999999998</v>
      </c>
      <c r="C26" s="33">
        <f>SUM(C14:C25)</f>
        <v>8.9</v>
      </c>
      <c r="D26" s="33">
        <f>SUM(D14:D25)</f>
        <v>11.19</v>
      </c>
      <c r="E26" s="33">
        <f>SUM(E14:E25)</f>
        <v>22.81</v>
      </c>
      <c r="H26" s="68"/>
      <c r="I26" s="69"/>
      <c r="J26" s="69"/>
      <c r="K26" s="69"/>
      <c r="L26" s="69"/>
      <c r="M26" s="20"/>
    </row>
    <row r="27" spans="8:13" ht="12.75">
      <c r="H27" s="68"/>
      <c r="I27" s="69"/>
      <c r="J27" s="69"/>
      <c r="K27" s="69"/>
      <c r="L27" s="69"/>
      <c r="M27" s="20"/>
    </row>
    <row r="28" spans="1:13" ht="12.75">
      <c r="A28" s="2" t="s">
        <v>152</v>
      </c>
      <c r="H28" s="68"/>
      <c r="I28" s="68"/>
      <c r="J28" s="69"/>
      <c r="K28" s="69"/>
      <c r="L28" s="69"/>
      <c r="M28" s="20"/>
    </row>
    <row r="29" spans="1:12" ht="12.75">
      <c r="A29" s="61" t="s">
        <v>12</v>
      </c>
      <c r="B29" s="33">
        <v>0.5</v>
      </c>
      <c r="C29" s="33">
        <v>1</v>
      </c>
      <c r="D29" s="33">
        <v>1</v>
      </c>
      <c r="E29" s="62">
        <f aca="true" t="shared" si="4" ref="E29:E34">SUM(B29:D29)</f>
        <v>2.5</v>
      </c>
      <c r="F29" s="49" t="s">
        <v>152</v>
      </c>
      <c r="H29" s="2"/>
      <c r="I29" s="33"/>
      <c r="J29" s="33"/>
      <c r="K29" s="33"/>
      <c r="L29" s="33"/>
    </row>
    <row r="30" spans="1:12" ht="12.75">
      <c r="A30" s="61" t="s">
        <v>16</v>
      </c>
      <c r="B30" s="33">
        <v>0.6</v>
      </c>
      <c r="C30" s="33">
        <v>1.8</v>
      </c>
      <c r="D30" s="33">
        <v>1.8</v>
      </c>
      <c r="E30" s="62">
        <f t="shared" si="4"/>
        <v>4.2</v>
      </c>
      <c r="F30" s="49" t="s">
        <v>152</v>
      </c>
      <c r="H30" s="2"/>
      <c r="I30" s="33"/>
      <c r="J30" s="33"/>
      <c r="K30" s="33"/>
      <c r="L30" s="33"/>
    </row>
    <row r="31" spans="1:8" ht="12.75">
      <c r="A31" s="61" t="s">
        <v>61</v>
      </c>
      <c r="B31" s="33">
        <v>1.8</v>
      </c>
      <c r="C31" s="33">
        <v>3</v>
      </c>
      <c r="D31" s="33">
        <v>3</v>
      </c>
      <c r="E31" s="62">
        <f t="shared" si="4"/>
        <v>7.8</v>
      </c>
      <c r="F31" s="49" t="s">
        <v>152</v>
      </c>
      <c r="H31" s="2" t="s">
        <v>155</v>
      </c>
    </row>
    <row r="32" spans="1:13" ht="12.75">
      <c r="A32" s="61" t="s">
        <v>39</v>
      </c>
      <c r="B32" s="62"/>
      <c r="C32" s="62">
        <v>2</v>
      </c>
      <c r="D32" s="62"/>
      <c r="E32" s="62">
        <f t="shared" si="4"/>
        <v>2</v>
      </c>
      <c r="F32" s="49" t="s">
        <v>152</v>
      </c>
      <c r="H32" s="61" t="s">
        <v>15</v>
      </c>
      <c r="I32" s="33">
        <v>0.6</v>
      </c>
      <c r="J32" s="33">
        <v>2.3</v>
      </c>
      <c r="K32" s="33">
        <v>3.4</v>
      </c>
      <c r="L32" s="62">
        <f aca="true" t="shared" si="5" ref="L32:L40">SUM(I32:K32)</f>
        <v>6.3</v>
      </c>
      <c r="M32" s="49" t="s">
        <v>155</v>
      </c>
    </row>
    <row r="33" spans="1:13" ht="12.75">
      <c r="A33" s="61" t="s">
        <v>27</v>
      </c>
      <c r="B33" s="62"/>
      <c r="C33" s="62"/>
      <c r="D33" s="62">
        <v>2</v>
      </c>
      <c r="E33" s="62">
        <f t="shared" si="4"/>
        <v>2</v>
      </c>
      <c r="F33" s="49" t="s">
        <v>152</v>
      </c>
      <c r="H33" s="61" t="s">
        <v>113</v>
      </c>
      <c r="I33" s="33">
        <v>0.5</v>
      </c>
      <c r="J33" s="33">
        <v>0.5</v>
      </c>
      <c r="K33" s="33">
        <v>0.5</v>
      </c>
      <c r="L33" s="62">
        <f t="shared" si="5"/>
        <v>1.5</v>
      </c>
      <c r="M33" s="49" t="s">
        <v>155</v>
      </c>
    </row>
    <row r="34" spans="1:13" ht="12.75">
      <c r="A34" s="61" t="s">
        <v>277</v>
      </c>
      <c r="B34" s="62"/>
      <c r="C34" s="62">
        <v>1.2</v>
      </c>
      <c r="D34" s="62">
        <f>3*1.2</f>
        <v>3.5999999999999996</v>
      </c>
      <c r="E34" s="62">
        <f t="shared" si="4"/>
        <v>4.8</v>
      </c>
      <c r="F34" s="49" t="s">
        <v>278</v>
      </c>
      <c r="H34" s="61" t="s">
        <v>22</v>
      </c>
      <c r="I34" s="33">
        <v>0.3</v>
      </c>
      <c r="J34" s="33">
        <v>0.5</v>
      </c>
      <c r="K34" s="33">
        <v>0.5</v>
      </c>
      <c r="L34" s="62">
        <f t="shared" si="5"/>
        <v>1.3</v>
      </c>
      <c r="M34" s="49" t="s">
        <v>155</v>
      </c>
    </row>
    <row r="35" spans="1:13" ht="12.75">
      <c r="A35" s="2" t="s">
        <v>279</v>
      </c>
      <c r="B35" s="33">
        <f>SUM(B29:B34)</f>
        <v>2.9000000000000004</v>
      </c>
      <c r="C35" s="33">
        <f>SUM(C29:C34)</f>
        <v>9</v>
      </c>
      <c r="D35" s="33">
        <f>SUM(D29:D34)</f>
        <v>11.399999999999999</v>
      </c>
      <c r="E35" s="33">
        <f>SUM(E29:E34)</f>
        <v>23.3</v>
      </c>
      <c r="H35" s="61" t="s">
        <v>55</v>
      </c>
      <c r="I35" s="33">
        <v>0</v>
      </c>
      <c r="J35" s="33">
        <v>0.9</v>
      </c>
      <c r="K35" s="33">
        <v>0.9</v>
      </c>
      <c r="L35" s="62">
        <f t="shared" si="5"/>
        <v>1.8</v>
      </c>
      <c r="M35" s="49" t="s">
        <v>155</v>
      </c>
    </row>
    <row r="36" spans="8:13" ht="12.75">
      <c r="H36" s="61" t="s">
        <v>38</v>
      </c>
      <c r="I36" s="33">
        <v>0</v>
      </c>
      <c r="J36" s="33">
        <v>0.1</v>
      </c>
      <c r="K36" s="33">
        <v>0.1</v>
      </c>
      <c r="L36" s="62">
        <f t="shared" si="5"/>
        <v>0.2</v>
      </c>
      <c r="M36" s="49" t="s">
        <v>155</v>
      </c>
    </row>
    <row r="37" spans="8:13" ht="12.75">
      <c r="H37" s="61" t="s">
        <v>117</v>
      </c>
      <c r="I37" s="33">
        <v>0.4</v>
      </c>
      <c r="J37" s="33">
        <v>1.1</v>
      </c>
      <c r="K37" s="33">
        <v>1.1</v>
      </c>
      <c r="L37" s="62">
        <f t="shared" si="5"/>
        <v>2.6</v>
      </c>
      <c r="M37" s="49" t="s">
        <v>155</v>
      </c>
    </row>
    <row r="38" spans="1:13" ht="12.75">
      <c r="A38" s="63" t="s">
        <v>157</v>
      </c>
      <c r="H38" s="61" t="s">
        <v>39</v>
      </c>
      <c r="I38" s="62">
        <v>1</v>
      </c>
      <c r="J38" s="62">
        <v>1</v>
      </c>
      <c r="K38" s="62"/>
      <c r="L38" s="62">
        <f t="shared" si="5"/>
        <v>2</v>
      </c>
      <c r="M38" s="49" t="s">
        <v>155</v>
      </c>
    </row>
    <row r="39" spans="1:13" ht="12.75">
      <c r="A39" s="61" t="s">
        <v>20</v>
      </c>
      <c r="B39" s="33">
        <v>0.4</v>
      </c>
      <c r="C39" s="33">
        <v>0.4</v>
      </c>
      <c r="D39" s="33">
        <v>0</v>
      </c>
      <c r="E39" s="62">
        <f aca="true" t="shared" si="6" ref="E39:E50">SUM(B39:D39)</f>
        <v>0.8</v>
      </c>
      <c r="F39" s="64" t="s">
        <v>157</v>
      </c>
      <c r="H39" s="61" t="s">
        <v>27</v>
      </c>
      <c r="I39" s="62"/>
      <c r="J39" s="62">
        <v>2</v>
      </c>
      <c r="K39" s="62"/>
      <c r="L39" s="62">
        <f t="shared" si="5"/>
        <v>2</v>
      </c>
      <c r="M39" s="49" t="s">
        <v>155</v>
      </c>
    </row>
    <row r="40" spans="1:13" ht="12.75">
      <c r="A40" s="61" t="s">
        <v>118</v>
      </c>
      <c r="B40" s="33">
        <v>0</v>
      </c>
      <c r="C40" s="33">
        <v>1.1</v>
      </c>
      <c r="D40" s="33">
        <v>1.1</v>
      </c>
      <c r="E40" s="62">
        <f t="shared" si="6"/>
        <v>2.2</v>
      </c>
      <c r="F40" s="64" t="s">
        <v>157</v>
      </c>
      <c r="H40" s="61" t="s">
        <v>277</v>
      </c>
      <c r="I40" s="62"/>
      <c r="J40" s="62"/>
      <c r="K40" s="62">
        <f>4*1.2</f>
        <v>4.8</v>
      </c>
      <c r="L40" s="62">
        <f t="shared" si="5"/>
        <v>4.8</v>
      </c>
      <c r="M40" s="49" t="s">
        <v>278</v>
      </c>
    </row>
    <row r="41" spans="1:12" ht="12.75">
      <c r="A41" s="61" t="s">
        <v>21</v>
      </c>
      <c r="B41" s="33">
        <v>0.4</v>
      </c>
      <c r="C41" s="33">
        <v>0.7</v>
      </c>
      <c r="D41" s="33">
        <v>0.7</v>
      </c>
      <c r="E41" s="62">
        <f t="shared" si="6"/>
        <v>1.8</v>
      </c>
      <c r="F41" s="64" t="s">
        <v>157</v>
      </c>
      <c r="H41" s="2" t="s">
        <v>279</v>
      </c>
      <c r="I41" s="33">
        <f>SUM(I32:I40)</f>
        <v>2.8000000000000003</v>
      </c>
      <c r="J41" s="33">
        <f>SUM(J32:J40)</f>
        <v>8.4</v>
      </c>
      <c r="K41" s="33">
        <f>SUM(K32:K40)</f>
        <v>11.3</v>
      </c>
      <c r="L41" s="33">
        <f>SUM(L32:L40)</f>
        <v>22.5</v>
      </c>
    </row>
    <row r="42" spans="1:13" ht="12.75">
      <c r="A42" s="61" t="s">
        <v>120</v>
      </c>
      <c r="B42" s="33">
        <v>0.2</v>
      </c>
      <c r="C42" s="33">
        <v>0.5</v>
      </c>
      <c r="D42" s="33">
        <v>0.5</v>
      </c>
      <c r="E42" s="62">
        <f t="shared" si="6"/>
        <v>1.2</v>
      </c>
      <c r="F42" s="64" t="s">
        <v>157</v>
      </c>
      <c r="H42" s="68"/>
      <c r="I42" s="69"/>
      <c r="J42" s="69"/>
      <c r="K42" s="69"/>
      <c r="L42" s="69"/>
      <c r="M42" s="20"/>
    </row>
    <row r="43" spans="1:13" ht="12.75">
      <c r="A43" s="61" t="s">
        <v>31</v>
      </c>
      <c r="B43" s="33">
        <v>0</v>
      </c>
      <c r="C43" s="33">
        <v>0.8</v>
      </c>
      <c r="D43" s="33">
        <v>0.8</v>
      </c>
      <c r="E43" s="62">
        <f t="shared" si="6"/>
        <v>1.6</v>
      </c>
      <c r="F43" s="64" t="s">
        <v>157</v>
      </c>
      <c r="H43" s="68"/>
      <c r="I43" s="69"/>
      <c r="J43" s="69"/>
      <c r="K43" s="69"/>
      <c r="L43" s="69"/>
      <c r="M43" s="20"/>
    </row>
    <row r="44" spans="1:13" ht="12.75">
      <c r="A44" s="61" t="s">
        <v>32</v>
      </c>
      <c r="B44" s="33">
        <v>0.6</v>
      </c>
      <c r="C44" s="33">
        <v>1.3</v>
      </c>
      <c r="D44" s="33">
        <v>1.3</v>
      </c>
      <c r="E44" s="62">
        <f t="shared" si="6"/>
        <v>3.2</v>
      </c>
      <c r="F44" s="64" t="s">
        <v>157</v>
      </c>
      <c r="H44" s="20"/>
      <c r="I44" s="20"/>
      <c r="J44" s="20"/>
      <c r="K44" s="20"/>
      <c r="L44" s="20"/>
      <c r="M44" s="20"/>
    </row>
    <row r="45" spans="1:6" ht="12.75">
      <c r="A45" s="61" t="s">
        <v>33</v>
      </c>
      <c r="B45" s="33">
        <v>0.2</v>
      </c>
      <c r="C45" s="33">
        <v>0.4</v>
      </c>
      <c r="D45" s="33">
        <v>0.4</v>
      </c>
      <c r="E45" s="62">
        <f t="shared" si="6"/>
        <v>1</v>
      </c>
      <c r="F45" s="64" t="s">
        <v>157</v>
      </c>
    </row>
    <row r="46" spans="1:6" ht="12.75">
      <c r="A46" s="61" t="s">
        <v>34</v>
      </c>
      <c r="B46" s="33">
        <v>0.3</v>
      </c>
      <c r="C46" s="33">
        <v>0.6</v>
      </c>
      <c r="D46" s="33">
        <v>0.6</v>
      </c>
      <c r="E46" s="62">
        <f t="shared" si="6"/>
        <v>1.5</v>
      </c>
      <c r="F46" s="64" t="s">
        <v>157</v>
      </c>
    </row>
    <row r="47" spans="1:6" ht="12.75">
      <c r="A47" s="61" t="s">
        <v>45</v>
      </c>
      <c r="B47" s="61"/>
      <c r="C47" s="33">
        <v>0.7</v>
      </c>
      <c r="D47" s="33">
        <v>0.7</v>
      </c>
      <c r="E47" s="62">
        <f t="shared" si="6"/>
        <v>1.4</v>
      </c>
      <c r="F47" s="64" t="s">
        <v>157</v>
      </c>
    </row>
    <row r="48" spans="1:6" ht="12.75">
      <c r="A48" s="61" t="s">
        <v>39</v>
      </c>
      <c r="B48" s="62"/>
      <c r="C48" s="62">
        <v>1</v>
      </c>
      <c r="D48" s="62">
        <v>1</v>
      </c>
      <c r="E48" s="62">
        <f t="shared" si="6"/>
        <v>2</v>
      </c>
      <c r="F48" s="49"/>
    </row>
    <row r="49" spans="1:6" ht="12.75">
      <c r="A49" s="61" t="s">
        <v>27</v>
      </c>
      <c r="B49" s="62"/>
      <c r="C49" s="62"/>
      <c r="D49" s="62">
        <v>2</v>
      </c>
      <c r="E49" s="62">
        <f t="shared" si="6"/>
        <v>2</v>
      </c>
      <c r="F49" s="49"/>
    </row>
    <row r="50" spans="1:6" ht="12.75">
      <c r="A50" s="61" t="s">
        <v>277</v>
      </c>
      <c r="B50" s="62"/>
      <c r="C50" s="62"/>
      <c r="D50" s="62">
        <f>1.2</f>
        <v>1.2</v>
      </c>
      <c r="E50" s="62">
        <f t="shared" si="6"/>
        <v>1.2</v>
      </c>
      <c r="F50" s="49" t="s">
        <v>278</v>
      </c>
    </row>
    <row r="51" spans="1:5" ht="12.75">
      <c r="A51" s="2" t="s">
        <v>279</v>
      </c>
      <c r="B51" s="33">
        <f>SUM(B39:B50)</f>
        <v>2.1</v>
      </c>
      <c r="C51" s="33">
        <f>SUM(C39:C50)</f>
        <v>7.5</v>
      </c>
      <c r="D51" s="33">
        <f>SUM(D39:D50)</f>
        <v>10.299999999999999</v>
      </c>
      <c r="E51" s="33">
        <f>SUM(E39:E50)</f>
        <v>19.900000000000002</v>
      </c>
    </row>
  </sheetData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selection activeCell="A26" sqref="A26"/>
    </sheetView>
  </sheetViews>
  <sheetFormatPr defaultColWidth="9.00390625" defaultRowHeight="12.75"/>
  <cols>
    <col min="3" max="3" width="10.625" style="0" customWidth="1"/>
    <col min="4" max="4" width="11.25390625" style="0" customWidth="1"/>
    <col min="5" max="5" width="9.75390625" style="0" customWidth="1"/>
  </cols>
  <sheetData>
    <row r="1" spans="1:9" ht="15.75">
      <c r="A1" s="48" t="s">
        <v>263</v>
      </c>
      <c r="B1" s="48"/>
      <c r="C1" s="49"/>
      <c r="D1" s="49"/>
      <c r="E1" s="49"/>
      <c r="F1" s="50" t="s">
        <v>96</v>
      </c>
      <c r="G1" s="51"/>
      <c r="H1" s="50" t="s">
        <v>97</v>
      </c>
      <c r="I1" s="49"/>
    </row>
    <row r="2" spans="1:9" ht="15.75">
      <c r="A2" s="52">
        <f>Раскладка!I2</f>
        <v>7</v>
      </c>
      <c r="B2" s="50" t="s">
        <v>1</v>
      </c>
      <c r="C2" s="49"/>
      <c r="D2" s="48"/>
      <c r="E2" s="49"/>
      <c r="F2" s="53"/>
      <c r="G2" s="53"/>
      <c r="H2" s="50"/>
      <c r="I2" s="49"/>
    </row>
    <row r="3" spans="1:9" ht="12.75">
      <c r="A3" s="50"/>
      <c r="B3" s="50"/>
      <c r="C3" s="50"/>
      <c r="D3" s="50"/>
      <c r="E3" s="50"/>
      <c r="F3" s="51" t="s">
        <v>112</v>
      </c>
      <c r="G3" s="51" t="s">
        <v>111</v>
      </c>
      <c r="H3" s="51" t="s">
        <v>112</v>
      </c>
      <c r="I3" s="51" t="s">
        <v>111</v>
      </c>
    </row>
    <row r="4" spans="1:9" ht="12.75">
      <c r="A4" s="50" t="s">
        <v>59</v>
      </c>
      <c r="B4" s="50"/>
      <c r="C4" s="50"/>
      <c r="D4" s="50"/>
      <c r="E4" s="50"/>
      <c r="F4" s="54">
        <f>CEILING(Еда!$D46,10)</f>
        <v>20600</v>
      </c>
      <c r="G4" s="54"/>
      <c r="H4" s="54">
        <f>CEILING(Еда!$D46/A2,10)</f>
        <v>2950</v>
      </c>
      <c r="I4" s="54">
        <f>H4/A25</f>
        <v>121.39917695473251</v>
      </c>
    </row>
    <row r="5" spans="1:9" ht="12.75">
      <c r="A5" s="50"/>
      <c r="B5" s="50"/>
      <c r="C5" s="50"/>
      <c r="D5" s="50"/>
      <c r="E5" s="50"/>
      <c r="F5" s="50"/>
      <c r="G5" s="50"/>
      <c r="H5" s="54"/>
      <c r="I5" s="58"/>
    </row>
    <row r="6" spans="1:9" ht="12.75">
      <c r="A6" s="50" t="s">
        <v>56</v>
      </c>
      <c r="B6" s="50"/>
      <c r="C6" s="50"/>
      <c r="D6" s="50"/>
      <c r="E6" s="50"/>
      <c r="F6" s="50"/>
      <c r="G6" s="50"/>
      <c r="H6" s="54"/>
      <c r="I6" s="58"/>
    </row>
    <row r="7" spans="1:9" ht="12.75">
      <c r="A7" s="50" t="s">
        <v>57</v>
      </c>
      <c r="B7" s="50"/>
      <c r="C7" s="50"/>
      <c r="D7" s="50"/>
      <c r="E7" s="50"/>
      <c r="F7" s="50"/>
      <c r="G7" s="50"/>
      <c r="H7" s="54"/>
      <c r="I7" s="58"/>
    </row>
    <row r="8" spans="1:12" ht="12.75">
      <c r="A8" s="50"/>
      <c r="B8" s="50"/>
      <c r="C8" s="50" t="s">
        <v>109</v>
      </c>
      <c r="D8" s="50"/>
      <c r="E8" s="50"/>
      <c r="F8" s="50">
        <f>$A$2*H8</f>
        <v>91980</v>
      </c>
      <c r="G8" s="50"/>
      <c r="H8" s="54">
        <f>1540+11600</f>
        <v>13140</v>
      </c>
      <c r="I8" s="54">
        <f>H8/A25</f>
        <v>540.7407407407408</v>
      </c>
      <c r="K8" s="47"/>
      <c r="L8" s="47"/>
    </row>
    <row r="9" spans="1:9" ht="12.75">
      <c r="A9" s="50"/>
      <c r="B9" s="50"/>
      <c r="C9" s="50" t="s">
        <v>149</v>
      </c>
      <c r="D9" s="50"/>
      <c r="E9" s="50"/>
      <c r="F9" s="50">
        <f>H9*A2</f>
        <v>5103</v>
      </c>
      <c r="G9" s="50"/>
      <c r="H9" s="54">
        <f>$A$25*I9</f>
        <v>729</v>
      </c>
      <c r="I9" s="54">
        <f>30</f>
        <v>30</v>
      </c>
    </row>
    <row r="10" spans="1:9" ht="12.75">
      <c r="A10" s="50"/>
      <c r="B10" s="50"/>
      <c r="C10" s="50" t="s">
        <v>110</v>
      </c>
      <c r="D10" s="50"/>
      <c r="E10" s="50"/>
      <c r="F10" s="50">
        <f>$A$25*G10</f>
        <v>11785.5</v>
      </c>
      <c r="G10" s="50">
        <f>CEILING(450+120/3.43,1)</f>
        <v>485</v>
      </c>
      <c r="H10" s="58"/>
      <c r="I10" s="54">
        <f>G10/A2</f>
        <v>69.28571428571429</v>
      </c>
    </row>
    <row r="11" spans="1:9" ht="12.75">
      <c r="A11" s="50"/>
      <c r="B11" s="50"/>
      <c r="C11" s="50" t="s">
        <v>140</v>
      </c>
      <c r="D11" s="50"/>
      <c r="E11" s="50"/>
      <c r="F11" s="50">
        <f>$A$25*G11</f>
        <v>10327.5</v>
      </c>
      <c r="G11" s="50">
        <f>170+125+130</f>
        <v>425</v>
      </c>
      <c r="H11" s="58"/>
      <c r="I11" s="54">
        <f>G11/($A$2)</f>
        <v>60.714285714285715</v>
      </c>
    </row>
    <row r="12" spans="1:9" ht="12.75">
      <c r="A12" s="50"/>
      <c r="B12" s="50"/>
      <c r="C12" s="50" t="s">
        <v>141</v>
      </c>
      <c r="D12" s="50"/>
      <c r="E12" s="50"/>
      <c r="F12" s="50"/>
      <c r="G12" s="50">
        <f>CEILING(80*1.6*3,1)</f>
        <v>384</v>
      </c>
      <c r="H12" s="58"/>
      <c r="I12" s="54">
        <f>G12/($A$2)</f>
        <v>54.857142857142854</v>
      </c>
    </row>
    <row r="13" spans="1:9" ht="12.75">
      <c r="A13" s="50"/>
      <c r="B13" s="50"/>
      <c r="C13" s="50" t="s">
        <v>142</v>
      </c>
      <c r="D13" s="50"/>
      <c r="E13" s="50"/>
      <c r="F13" s="50">
        <f>$A$25*G13</f>
        <v>5103</v>
      </c>
      <c r="G13" s="50">
        <f>I13*A2</f>
        <v>210</v>
      </c>
      <c r="H13" s="54">
        <f>$A$25*I13</f>
        <v>729</v>
      </c>
      <c r="I13" s="54">
        <v>30</v>
      </c>
    </row>
    <row r="14" spans="1:9" ht="12.75">
      <c r="A14" s="50" t="s">
        <v>147</v>
      </c>
      <c r="B14" s="50"/>
      <c r="C14" s="50"/>
      <c r="D14" s="50"/>
      <c r="E14" s="50"/>
      <c r="F14" s="50">
        <f>CEILING((6*I14+43.23*1.6)*A25,10)</f>
        <v>15560</v>
      </c>
      <c r="G14" s="50"/>
      <c r="H14" s="54">
        <f>F14/A2</f>
        <v>2222.8571428571427</v>
      </c>
      <c r="I14" s="54">
        <f>60.8*1.565</f>
        <v>95.15199999999999</v>
      </c>
    </row>
    <row r="15" spans="1:9" ht="12.75">
      <c r="A15" s="50" t="s">
        <v>122</v>
      </c>
      <c r="B15" s="50"/>
      <c r="C15" s="50"/>
      <c r="D15" s="50"/>
      <c r="E15" s="50"/>
      <c r="F15" s="50">
        <f>$A$25*G15</f>
        <v>27045.9</v>
      </c>
      <c r="G15" s="50">
        <f>I15*A2</f>
        <v>1113</v>
      </c>
      <c r="H15" s="58"/>
      <c r="I15" s="54">
        <f>1.6*50+79</f>
        <v>159</v>
      </c>
    </row>
    <row r="16" spans="1:9" ht="12.75">
      <c r="A16" s="50"/>
      <c r="B16" s="50"/>
      <c r="C16" s="50"/>
      <c r="D16" s="50"/>
      <c r="E16" s="50"/>
      <c r="F16" s="49"/>
      <c r="G16" s="50"/>
      <c r="H16" s="54"/>
      <c r="I16" s="58"/>
    </row>
    <row r="17" spans="1:9" ht="12.75">
      <c r="A17" s="50" t="s">
        <v>58</v>
      </c>
      <c r="B17" s="50"/>
      <c r="C17" s="50"/>
      <c r="D17" s="50"/>
      <c r="E17" s="50"/>
      <c r="F17" s="49"/>
      <c r="G17" s="50"/>
      <c r="H17" s="54">
        <v>500</v>
      </c>
      <c r="I17" s="54">
        <f>H17/A25</f>
        <v>20.576131687242796</v>
      </c>
    </row>
    <row r="18" spans="1:9" ht="12.75">
      <c r="A18" s="50" t="s">
        <v>57</v>
      </c>
      <c r="B18" s="50"/>
      <c r="C18" s="50"/>
      <c r="D18" s="50"/>
      <c r="E18" s="50"/>
      <c r="F18" s="49"/>
      <c r="G18" s="50"/>
      <c r="H18" s="54"/>
      <c r="I18" s="58"/>
    </row>
    <row r="19" spans="1:9" ht="12.75">
      <c r="A19" s="50"/>
      <c r="B19" s="50"/>
      <c r="C19" s="50" t="s">
        <v>280</v>
      </c>
      <c r="D19" s="50"/>
      <c r="E19" s="50"/>
      <c r="F19" s="49"/>
      <c r="G19" s="50">
        <v>33</v>
      </c>
      <c r="H19" s="58"/>
      <c r="I19" s="54">
        <f>CEILING(G19/$A$2,1)</f>
        <v>5</v>
      </c>
    </row>
    <row r="20" spans="1:9" ht="14.25" customHeight="1">
      <c r="A20" s="50"/>
      <c r="B20" s="50"/>
      <c r="C20" s="50" t="s">
        <v>52</v>
      </c>
      <c r="D20" s="50"/>
      <c r="E20" s="50"/>
      <c r="F20" s="49"/>
      <c r="G20" s="50">
        <f>(CEILING(H20/A25,1))</f>
        <v>93</v>
      </c>
      <c r="H20" s="54">
        <v>2250</v>
      </c>
      <c r="I20" s="54">
        <f>CEILING(G20/$A$2,1)</f>
        <v>14</v>
      </c>
    </row>
    <row r="21" spans="1:9" ht="14.25" customHeight="1">
      <c r="A21" s="50"/>
      <c r="B21" s="50"/>
      <c r="C21" s="50" t="s">
        <v>148</v>
      </c>
      <c r="D21" s="50"/>
      <c r="E21" s="50"/>
      <c r="F21" s="57">
        <f>200*36+1500</f>
        <v>8700</v>
      </c>
      <c r="G21" s="50"/>
      <c r="H21" s="59">
        <f>F21/A2</f>
        <v>1242.857142857143</v>
      </c>
      <c r="I21" s="54">
        <f>CEILING(H21/A25,1)</f>
        <v>52</v>
      </c>
    </row>
    <row r="22" spans="1:9" ht="12.75">
      <c r="A22" s="50"/>
      <c r="B22" s="50"/>
      <c r="C22" s="50"/>
      <c r="D22" s="50"/>
      <c r="E22" s="50"/>
      <c r="F22" s="50"/>
      <c r="G22" s="50"/>
      <c r="H22" s="49"/>
      <c r="I22" s="54"/>
    </row>
    <row r="23" spans="1:9" ht="15.75">
      <c r="A23" s="55" t="s">
        <v>43</v>
      </c>
      <c r="B23" s="50"/>
      <c r="C23" s="50"/>
      <c r="D23" s="50"/>
      <c r="E23" s="50"/>
      <c r="F23" s="56"/>
      <c r="G23" s="49"/>
      <c r="H23" s="56">
        <f>I23*A25</f>
        <v>30441.222171428577</v>
      </c>
      <c r="I23" s="54">
        <f>SUM(I4:I22)</f>
        <v>1252.725192239859</v>
      </c>
    </row>
    <row r="24" spans="1:9" ht="12.75">
      <c r="A24" s="50"/>
      <c r="B24" s="50"/>
      <c r="C24" s="50"/>
      <c r="D24" s="50"/>
      <c r="E24" s="50"/>
      <c r="F24" s="50"/>
      <c r="G24" s="50"/>
      <c r="H24" s="49"/>
      <c r="I24" s="49"/>
    </row>
    <row r="25" spans="1:9" ht="12.75">
      <c r="A25" s="50">
        <v>24.3</v>
      </c>
      <c r="B25" s="50" t="s">
        <v>139</v>
      </c>
      <c r="C25" s="50">
        <v>36.5</v>
      </c>
      <c r="D25" s="50" t="s">
        <v>292</v>
      </c>
      <c r="E25" s="50"/>
      <c r="F25" s="50"/>
      <c r="G25" s="50"/>
      <c r="H25" s="49"/>
      <c r="I25" s="49"/>
    </row>
    <row r="26" spans="1:7" ht="12.75">
      <c r="A26" s="17"/>
      <c r="B26" s="17"/>
      <c r="C26" s="17"/>
      <c r="D26" s="17"/>
      <c r="E26" s="17"/>
      <c r="F26" s="17"/>
      <c r="G26" s="17"/>
    </row>
    <row r="27" spans="1:7" ht="12.75">
      <c r="A27" s="17" t="s">
        <v>286</v>
      </c>
      <c r="B27" s="17" t="s">
        <v>112</v>
      </c>
      <c r="C27" s="17" t="s">
        <v>284</v>
      </c>
      <c r="D27" s="17" t="s">
        <v>285</v>
      </c>
      <c r="E27" s="17" t="s">
        <v>291</v>
      </c>
      <c r="F27" s="17" t="s">
        <v>43</v>
      </c>
      <c r="G27" s="17" t="s">
        <v>293</v>
      </c>
    </row>
    <row r="28" spans="1:7" ht="12.75">
      <c r="A28" s="17" t="s">
        <v>281</v>
      </c>
      <c r="B28" s="17">
        <f>42000-1600</f>
        <v>40400</v>
      </c>
      <c r="C28" s="17"/>
      <c r="D28" s="17">
        <v>280</v>
      </c>
      <c r="E28" s="17"/>
      <c r="F28" s="17">
        <f>B28+C28*$A$25+D28*$C$25+E28/135*1000</f>
        <v>50620</v>
      </c>
      <c r="G28" s="17">
        <f>-F28+$F$36</f>
        <v>-20630.571428571428</v>
      </c>
    </row>
    <row r="29" spans="1:7" ht="12.75">
      <c r="A29" s="17" t="s">
        <v>283</v>
      </c>
      <c r="B29" s="17">
        <v>22100</v>
      </c>
      <c r="C29" s="17"/>
      <c r="D29" s="17"/>
      <c r="E29" s="17"/>
      <c r="F29" s="17">
        <f aca="true" t="shared" si="0" ref="F29:F34">B29+C29*$A$25+D29*$C$25+E29/135*1000</f>
        <v>22100</v>
      </c>
      <c r="G29" s="17">
        <f aca="true" t="shared" si="1" ref="G29:G34">-F29+$F$36</f>
        <v>7889.4285714285725</v>
      </c>
    </row>
    <row r="30" spans="1:7" ht="12.75">
      <c r="A30" s="17" t="s">
        <v>282</v>
      </c>
      <c r="B30" s="17">
        <v>21550</v>
      </c>
      <c r="C30" s="17">
        <v>730</v>
      </c>
      <c r="D30" s="17">
        <v>310</v>
      </c>
      <c r="E30" s="17"/>
      <c r="F30" s="17">
        <f t="shared" si="0"/>
        <v>50604</v>
      </c>
      <c r="G30" s="17">
        <f t="shared" si="1"/>
        <v>-20614.571428571428</v>
      </c>
    </row>
    <row r="31" spans="1:7" ht="12.75">
      <c r="A31" s="17" t="s">
        <v>287</v>
      </c>
      <c r="B31" s="17">
        <v>25780</v>
      </c>
      <c r="C31" s="17"/>
      <c r="D31" s="17"/>
      <c r="E31" s="17">
        <v>-10</v>
      </c>
      <c r="F31" s="17">
        <f t="shared" si="0"/>
        <v>25705.925925925927</v>
      </c>
      <c r="G31" s="17">
        <f t="shared" si="1"/>
        <v>4283.5026455026455</v>
      </c>
    </row>
    <row r="32" spans="1:7" ht="12.75">
      <c r="A32" s="17" t="s">
        <v>288</v>
      </c>
      <c r="B32" s="17">
        <v>21970</v>
      </c>
      <c r="C32" s="17"/>
      <c r="D32" s="17"/>
      <c r="E32" s="17">
        <v>28</v>
      </c>
      <c r="F32" s="17">
        <f t="shared" si="0"/>
        <v>22177.40740740741</v>
      </c>
      <c r="G32" s="17">
        <f t="shared" si="1"/>
        <v>7812.021164021164</v>
      </c>
    </row>
    <row r="33" spans="1:7" ht="12.75">
      <c r="A33" s="17" t="s">
        <v>289</v>
      </c>
      <c r="B33" s="17">
        <v>21700</v>
      </c>
      <c r="C33" s="17"/>
      <c r="D33" s="17"/>
      <c r="E33" s="17">
        <v>-8</v>
      </c>
      <c r="F33" s="17">
        <f t="shared" si="0"/>
        <v>21640.74074074074</v>
      </c>
      <c r="G33" s="17">
        <f t="shared" si="1"/>
        <v>8348.687830687832</v>
      </c>
    </row>
    <row r="34" spans="1:7" ht="12.75">
      <c r="A34" s="17" t="s">
        <v>290</v>
      </c>
      <c r="B34" s="17">
        <v>17300</v>
      </c>
      <c r="C34" s="17"/>
      <c r="D34" s="17"/>
      <c r="E34" s="17">
        <v>-30</v>
      </c>
      <c r="F34" s="17">
        <f t="shared" si="0"/>
        <v>17077.777777777777</v>
      </c>
      <c r="G34" s="17">
        <f t="shared" si="1"/>
        <v>12911.650793650795</v>
      </c>
    </row>
    <row r="35" spans="1:7" ht="12.75">
      <c r="A35" s="17" t="s">
        <v>96</v>
      </c>
      <c r="B35" s="17"/>
      <c r="C35" s="17"/>
      <c r="D35" s="17"/>
      <c r="E35" s="17"/>
      <c r="F35" s="17">
        <f>CEILING(SUM(F28:F34),1)</f>
        <v>209926</v>
      </c>
      <c r="G35" s="17"/>
    </row>
    <row r="36" spans="1:7" ht="12.75">
      <c r="A36" s="17" t="s">
        <v>97</v>
      </c>
      <c r="B36" s="17"/>
      <c r="C36" s="17"/>
      <c r="D36" s="17"/>
      <c r="E36" s="17"/>
      <c r="F36" s="17">
        <f>F35/A2</f>
        <v>29989.428571428572</v>
      </c>
      <c r="G36" s="17"/>
    </row>
    <row r="37" spans="1:7" ht="12.75">
      <c r="A37" s="17"/>
      <c r="B37" s="17"/>
      <c r="C37" s="17"/>
      <c r="D37" s="17"/>
      <c r="E37" s="17"/>
      <c r="F37" s="17"/>
      <c r="G37" s="17"/>
    </row>
    <row r="38" spans="1:7" ht="12.75">
      <c r="A38" s="17"/>
      <c r="B38" s="17"/>
      <c r="C38" s="17"/>
      <c r="D38" s="17"/>
      <c r="E38" s="17"/>
      <c r="F38" s="17"/>
      <c r="G38" s="17"/>
    </row>
    <row r="39" spans="1:7" ht="12.75">
      <c r="A39" s="17"/>
      <c r="B39" s="17"/>
      <c r="C39" s="17"/>
      <c r="D39" s="17"/>
      <c r="E39" s="17"/>
      <c r="F39" s="17"/>
      <c r="G39" s="17"/>
    </row>
    <row r="40" spans="1:7" ht="12.75">
      <c r="A40" s="17"/>
      <c r="B40" s="17"/>
      <c r="C40" s="17"/>
      <c r="D40" s="17"/>
      <c r="E40" s="17"/>
      <c r="F40" s="17"/>
      <c r="G40" s="1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Елизаров</dc:creator>
  <cp:keywords/>
  <dc:description/>
  <cp:lastModifiedBy>Ветлужских Н&amp;Д</cp:lastModifiedBy>
  <cp:lastPrinted>2008-07-21T09:25:00Z</cp:lastPrinted>
  <dcterms:created xsi:type="dcterms:W3CDTF">1996-12-08T08:55:06Z</dcterms:created>
  <dcterms:modified xsi:type="dcterms:W3CDTF">2009-03-14T09:28:48Z</dcterms:modified>
  <cp:category/>
  <cp:version/>
  <cp:contentType/>
  <cp:contentStatus/>
</cp:coreProperties>
</file>